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 defaultThemeVersion="124226"/>
  <bookViews>
    <workbookView xWindow="-105" yWindow="-105" windowWidth="19440" windowHeight="11040" tabRatio="671" activeTab="4"/>
  </bookViews>
  <sheets>
    <sheet name="CBGV" sheetId="2" r:id="rId1"/>
    <sheet name="PCGVCN" sheetId="11" r:id="rId2"/>
    <sheet name="T-L-K" sheetId="1" r:id="rId3"/>
    <sheet name="PCCM" sheetId="5" r:id="rId4"/>
    <sheet name="THOI KHOA BIEU " sheetId="8" r:id="rId5"/>
    <sheet name="SO DO PHONG HOC" sheetId="12" r:id="rId6"/>
  </sheets>
  <definedNames>
    <definedName name="_xlnm._FilterDatabase" localSheetId="3" hidden="1">PCCM!$A$3:$AB$185</definedName>
    <definedName name="_xlnm.Print_Area" localSheetId="0">CBGV!$A$1:$P$74</definedName>
    <definedName name="_xlnm.Print_Area" localSheetId="3">PCCM!$K$1:$AA$187</definedName>
    <definedName name="_xlnm.Print_Area" localSheetId="5">'SO DO PHONG HOC'!$A$1:$AF$41</definedName>
    <definedName name="_xlnm.Print_Area" localSheetId="4">'THOI KHOA BIEU '!$A$1:$AE$78</definedName>
    <definedName name="_xlnm.Print_Area" localSheetId="2">'T-L-K'!$A$1:$BH$92</definedName>
    <definedName name="_xlnm.Print_Titles" localSheetId="3">PCCM!$1:$3</definedName>
  </definedNames>
  <calcPr calcId="144525"/>
</workbook>
</file>

<file path=xl/calcChain.xml><?xml version="1.0" encoding="utf-8"?>
<calcChain xmlns="http://schemas.openxmlformats.org/spreadsheetml/2006/main">
  <c r="AT48" i="1" l="1"/>
  <c r="AR48" i="1"/>
  <c r="AP48" i="1"/>
  <c r="AT47" i="1"/>
  <c r="AR47" i="1"/>
  <c r="AP47" i="1"/>
  <c r="AT46" i="1"/>
  <c r="AR46" i="1"/>
  <c r="AP46" i="1"/>
  <c r="AT45" i="1"/>
  <c r="AR45" i="1"/>
  <c r="AP45" i="1"/>
  <c r="CL59" i="8" l="1"/>
  <c r="CL58" i="8"/>
  <c r="CL57" i="8"/>
  <c r="CL56" i="8"/>
  <c r="CL55" i="8"/>
  <c r="CL54" i="8"/>
  <c r="CL53" i="8"/>
  <c r="CL52" i="8"/>
  <c r="CL51" i="8"/>
  <c r="CL50" i="8"/>
  <c r="CL49" i="8"/>
  <c r="CL48" i="8"/>
  <c r="CL47" i="8"/>
  <c r="CL46" i="8"/>
  <c r="CL45" i="8"/>
  <c r="CL44" i="8"/>
  <c r="CL43" i="8"/>
  <c r="CL42" i="8"/>
  <c r="CL41" i="8"/>
  <c r="CL40" i="8"/>
  <c r="CL34" i="8"/>
  <c r="CL33" i="8"/>
  <c r="CL32" i="8"/>
  <c r="CL31" i="8"/>
  <c r="CL30" i="8"/>
  <c r="CL29" i="8"/>
  <c r="CL28" i="8"/>
  <c r="CL27" i="8"/>
  <c r="CL26" i="8"/>
  <c r="CL25" i="8"/>
  <c r="CL24" i="8"/>
  <c r="CL23" i="8"/>
  <c r="CL22" i="8"/>
  <c r="CL21" i="8"/>
  <c r="CL20" i="8"/>
  <c r="CL19" i="8"/>
  <c r="CL18" i="8"/>
  <c r="CL17" i="8"/>
  <c r="CL16" i="8"/>
  <c r="CL15" i="8"/>
  <c r="CL14" i="8"/>
  <c r="CL13" i="8"/>
  <c r="CL12" i="8"/>
  <c r="CL11" i="8"/>
  <c r="CL10" i="8"/>
  <c r="CL9" i="8"/>
  <c r="CL8" i="8"/>
  <c r="CL7" i="8"/>
  <c r="CK59" i="8"/>
  <c r="CK58" i="8"/>
  <c r="CK57" i="8"/>
  <c r="CK56" i="8"/>
  <c r="CK55" i="8"/>
  <c r="CK54" i="8"/>
  <c r="CK53" i="8"/>
  <c r="CK52" i="8"/>
  <c r="CK51" i="8"/>
  <c r="CK50" i="8"/>
  <c r="CK49" i="8"/>
  <c r="CK48" i="8"/>
  <c r="CK47" i="8"/>
  <c r="CK46" i="8"/>
  <c r="CK45" i="8"/>
  <c r="CK44" i="8"/>
  <c r="CK43" i="8"/>
  <c r="CK42" i="8"/>
  <c r="CK41" i="8"/>
  <c r="CK40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CK13" i="8"/>
  <c r="CK12" i="8"/>
  <c r="CK11" i="8"/>
  <c r="CK10" i="8"/>
  <c r="CK9" i="8"/>
  <c r="CK8" i="8"/>
  <c r="CK7" i="8"/>
  <c r="BU59" i="8"/>
  <c r="BU58" i="8"/>
  <c r="BU57" i="8"/>
  <c r="BU56" i="8"/>
  <c r="BU55" i="8"/>
  <c r="BU54" i="8"/>
  <c r="BU53" i="8"/>
  <c r="BU52" i="8"/>
  <c r="BU51" i="8"/>
  <c r="BU50" i="8"/>
  <c r="BU49" i="8"/>
  <c r="BU48" i="8"/>
  <c r="BU47" i="8"/>
  <c r="BU46" i="8"/>
  <c r="BU45" i="8"/>
  <c r="BU44" i="8"/>
  <c r="BU43" i="8"/>
  <c r="BU42" i="8"/>
  <c r="BU41" i="8"/>
  <c r="BU40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Y59" i="8"/>
  <c r="BY58" i="8"/>
  <c r="BY57" i="8"/>
  <c r="BY56" i="8"/>
  <c r="BY55" i="8"/>
  <c r="BY54" i="8"/>
  <c r="BY53" i="8"/>
  <c r="BY52" i="8"/>
  <c r="BY7" i="8"/>
  <c r="BY51" i="8"/>
  <c r="BY50" i="8"/>
  <c r="BY49" i="8"/>
  <c r="BY48" i="8"/>
  <c r="BY47" i="8"/>
  <c r="BY46" i="8"/>
  <c r="BY45" i="8"/>
  <c r="BY44" i="8"/>
  <c r="BY43" i="8"/>
  <c r="BY42" i="8"/>
  <c r="BY41" i="8"/>
  <c r="BY40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CF51" i="8"/>
  <c r="L22" i="5" l="1"/>
  <c r="L7" i="5"/>
  <c r="L10" i="5"/>
  <c r="L13" i="5"/>
  <c r="L16" i="5"/>
  <c r="L19" i="5"/>
  <c r="L25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0" i="5"/>
  <c r="L103" i="5"/>
  <c r="L106" i="5"/>
  <c r="L109" i="5"/>
  <c r="L112" i="5"/>
  <c r="L115" i="5"/>
  <c r="L118" i="5"/>
  <c r="L121" i="5"/>
  <c r="L124" i="5"/>
  <c r="L127" i="5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L178" i="5"/>
  <c r="L181" i="5"/>
  <c r="N43" i="2"/>
  <c r="O43" i="2"/>
  <c r="J129" i="5"/>
  <c r="I129" i="5"/>
  <c r="H129" i="5"/>
  <c r="G129" i="5"/>
  <c r="F129" i="5"/>
  <c r="E129" i="5"/>
  <c r="D129" i="5"/>
  <c r="C129" i="5"/>
  <c r="B129" i="5"/>
  <c r="A129" i="5"/>
  <c r="J128" i="5"/>
  <c r="I128" i="5"/>
  <c r="H128" i="5"/>
  <c r="G128" i="5"/>
  <c r="F128" i="5"/>
  <c r="E128" i="5"/>
  <c r="D128" i="5"/>
  <c r="C128" i="5"/>
  <c r="B128" i="5"/>
  <c r="A128" i="5"/>
  <c r="J127" i="5"/>
  <c r="I127" i="5"/>
  <c r="H127" i="5"/>
  <c r="G127" i="5"/>
  <c r="F127" i="5"/>
  <c r="E127" i="5"/>
  <c r="D127" i="5"/>
  <c r="C127" i="5"/>
  <c r="B127" i="5"/>
  <c r="A127" i="5"/>
  <c r="J117" i="5"/>
  <c r="I117" i="5"/>
  <c r="H117" i="5"/>
  <c r="G117" i="5"/>
  <c r="F117" i="5"/>
  <c r="E117" i="5"/>
  <c r="D117" i="5"/>
  <c r="C117" i="5"/>
  <c r="B117" i="5"/>
  <c r="A117" i="5"/>
  <c r="J116" i="5"/>
  <c r="I116" i="5"/>
  <c r="H116" i="5"/>
  <c r="G116" i="5"/>
  <c r="F116" i="5"/>
  <c r="E116" i="5"/>
  <c r="D116" i="5"/>
  <c r="C116" i="5"/>
  <c r="B116" i="5"/>
  <c r="A116" i="5"/>
  <c r="J115" i="5"/>
  <c r="I115" i="5"/>
  <c r="H115" i="5"/>
  <c r="G115" i="5"/>
  <c r="F115" i="5"/>
  <c r="E115" i="5"/>
  <c r="D115" i="5"/>
  <c r="C115" i="5"/>
  <c r="B115" i="5"/>
  <c r="A115" i="5"/>
  <c r="Y127" i="5" l="1"/>
  <c r="Z127" i="5"/>
  <c r="AA127" i="5" s="1"/>
  <c r="Y115" i="5"/>
  <c r="AO13" i="1"/>
  <c r="V13" i="1"/>
  <c r="AO12" i="1"/>
  <c r="V12" i="1"/>
  <c r="L39" i="8"/>
  <c r="N39" i="2" l="1"/>
  <c r="O39" i="2"/>
  <c r="X115" i="5" s="1"/>
  <c r="Z115" i="5" s="1"/>
  <c r="AA115" i="5" s="1"/>
  <c r="O21" i="2"/>
  <c r="O9" i="2"/>
  <c r="O12" i="2"/>
  <c r="V15" i="1"/>
  <c r="AO15" i="1"/>
  <c r="V16" i="1"/>
  <c r="AO16" i="1"/>
  <c r="V17" i="1"/>
  <c r="AO17" i="1"/>
  <c r="V18" i="1"/>
  <c r="AO18" i="1"/>
  <c r="V19" i="1"/>
  <c r="AO19" i="1"/>
  <c r="V20" i="1"/>
  <c r="AO20" i="1"/>
  <c r="V21" i="1"/>
  <c r="AO21" i="1"/>
  <c r="V22" i="1"/>
  <c r="AO22" i="1"/>
  <c r="V23" i="1"/>
  <c r="AO23" i="1"/>
  <c r="V24" i="1"/>
  <c r="AO24" i="1"/>
  <c r="V25" i="1"/>
  <c r="AO25" i="1"/>
  <c r="V26" i="1"/>
  <c r="AO26" i="1"/>
  <c r="V27" i="1"/>
  <c r="AO27" i="1"/>
  <c r="V28" i="1"/>
  <c r="AO28" i="1"/>
  <c r="V29" i="1"/>
  <c r="AO29" i="1"/>
  <c r="V30" i="1"/>
  <c r="AO30" i="1"/>
  <c r="V31" i="1"/>
  <c r="AO31" i="1"/>
  <c r="V32" i="1"/>
  <c r="AO32" i="1"/>
  <c r="V33" i="1"/>
  <c r="AO33" i="1"/>
  <c r="V34" i="1"/>
  <c r="AO34" i="1"/>
  <c r="AF8" i="8" l="1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7" i="8"/>
  <c r="AG7" i="8"/>
  <c r="AH7" i="8"/>
  <c r="AI7" i="8"/>
  <c r="AJ7" i="8"/>
  <c r="AG8" i="8"/>
  <c r="AH8" i="8"/>
  <c r="AI8" i="8"/>
  <c r="AJ8" i="8"/>
  <c r="AG9" i="8"/>
  <c r="AH9" i="8"/>
  <c r="AI9" i="8"/>
  <c r="AJ9" i="8"/>
  <c r="AG10" i="8"/>
  <c r="AH10" i="8"/>
  <c r="AI10" i="8"/>
  <c r="AJ10" i="8"/>
  <c r="AG11" i="8"/>
  <c r="AH11" i="8"/>
  <c r="AI11" i="8"/>
  <c r="AJ11" i="8"/>
  <c r="AG12" i="8"/>
  <c r="AH12" i="8"/>
  <c r="AI12" i="8"/>
  <c r="AJ12" i="8"/>
  <c r="AG13" i="8"/>
  <c r="AH13" i="8"/>
  <c r="AI13" i="8"/>
  <c r="AJ13" i="8"/>
  <c r="AG14" i="8"/>
  <c r="AH14" i="8"/>
  <c r="AI14" i="8"/>
  <c r="AJ14" i="8"/>
  <c r="AG15" i="8"/>
  <c r="AH15" i="8"/>
  <c r="AI15" i="8"/>
  <c r="AJ15" i="8"/>
  <c r="AG16" i="8"/>
  <c r="AH16" i="8"/>
  <c r="AI16" i="8"/>
  <c r="AJ16" i="8"/>
  <c r="AG17" i="8"/>
  <c r="AH17" i="8"/>
  <c r="AI17" i="8"/>
  <c r="AJ17" i="8"/>
  <c r="AG18" i="8"/>
  <c r="AH18" i="8"/>
  <c r="AI18" i="8"/>
  <c r="AJ18" i="8"/>
  <c r="AG19" i="8"/>
  <c r="AH19" i="8"/>
  <c r="AI19" i="8"/>
  <c r="AJ19" i="8"/>
  <c r="AG20" i="8"/>
  <c r="AH20" i="8"/>
  <c r="AI20" i="8"/>
  <c r="AJ20" i="8"/>
  <c r="AG21" i="8"/>
  <c r="AH21" i="8"/>
  <c r="AI21" i="8"/>
  <c r="AJ21" i="8"/>
  <c r="AG22" i="8"/>
  <c r="AH22" i="8"/>
  <c r="AI22" i="8"/>
  <c r="AJ22" i="8"/>
  <c r="AG23" i="8"/>
  <c r="AH23" i="8"/>
  <c r="AI23" i="8"/>
  <c r="AJ23" i="8"/>
  <c r="AG24" i="8"/>
  <c r="AH24" i="8"/>
  <c r="AI24" i="8"/>
  <c r="AJ24" i="8"/>
  <c r="AG25" i="8"/>
  <c r="AH25" i="8"/>
  <c r="AI25" i="8"/>
  <c r="AJ25" i="8"/>
  <c r="AG26" i="8"/>
  <c r="AH26" i="8"/>
  <c r="AI26" i="8"/>
  <c r="AJ26" i="8"/>
  <c r="AG27" i="8"/>
  <c r="AH27" i="8"/>
  <c r="AI27" i="8"/>
  <c r="AJ27" i="8"/>
  <c r="AG28" i="8"/>
  <c r="AH28" i="8"/>
  <c r="AI28" i="8"/>
  <c r="AJ28" i="8"/>
  <c r="AG29" i="8"/>
  <c r="AH29" i="8"/>
  <c r="AI29" i="8"/>
  <c r="AJ29" i="8"/>
  <c r="AG30" i="8"/>
  <c r="AH30" i="8"/>
  <c r="AI30" i="8"/>
  <c r="AJ30" i="8"/>
  <c r="AG31" i="8"/>
  <c r="AH31" i="8"/>
  <c r="AI31" i="8"/>
  <c r="AJ31" i="8"/>
  <c r="AB60" i="8"/>
  <c r="AH43" i="8"/>
  <c r="AH42" i="8"/>
  <c r="AF41" i="8"/>
  <c r="AF40" i="8"/>
  <c r="CN58" i="8"/>
  <c r="CN59" i="8"/>
  <c r="CM59" i="8"/>
  <c r="CM58" i="8"/>
  <c r="CH54" i="8"/>
  <c r="CH53" i="8"/>
  <c r="CH52" i="8"/>
  <c r="CH49" i="8"/>
  <c r="CH48" i="8"/>
  <c r="AY54" i="8"/>
  <c r="AY53" i="8"/>
  <c r="AY49" i="8"/>
  <c r="AY48" i="8"/>
  <c r="CG48" i="8"/>
  <c r="CG49" i="8"/>
  <c r="AX55" i="8"/>
  <c r="AX54" i="8"/>
  <c r="AZ45" i="8"/>
  <c r="AZ44" i="8"/>
  <c r="CE43" i="8"/>
  <c r="CE42" i="8"/>
  <c r="CO45" i="8"/>
  <c r="CO46" i="8"/>
  <c r="AD39" i="8" l="1"/>
  <c r="H60" i="8"/>
  <c r="I60" i="8"/>
  <c r="J60" i="8"/>
  <c r="K60" i="8"/>
  <c r="L60" i="8"/>
  <c r="L91" i="8" s="1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C60" i="8"/>
  <c r="AD60" i="8"/>
  <c r="D60" i="8"/>
  <c r="CL60" i="8" s="1"/>
  <c r="E60" i="8"/>
  <c r="F60" i="8"/>
  <c r="G60" i="8"/>
  <c r="J111" i="5"/>
  <c r="I111" i="5"/>
  <c r="H111" i="5"/>
  <c r="G111" i="5"/>
  <c r="F111" i="5"/>
  <c r="E111" i="5"/>
  <c r="D111" i="5"/>
  <c r="C111" i="5"/>
  <c r="B111" i="5"/>
  <c r="A111" i="5"/>
  <c r="J110" i="5"/>
  <c r="I110" i="5"/>
  <c r="H110" i="5"/>
  <c r="G110" i="5"/>
  <c r="F110" i="5"/>
  <c r="E110" i="5"/>
  <c r="D110" i="5"/>
  <c r="C110" i="5"/>
  <c r="B110" i="5"/>
  <c r="A110" i="5"/>
  <c r="J109" i="5"/>
  <c r="I109" i="5"/>
  <c r="H109" i="5"/>
  <c r="G109" i="5"/>
  <c r="F109" i="5"/>
  <c r="E109" i="5"/>
  <c r="D109" i="5"/>
  <c r="C109" i="5"/>
  <c r="B109" i="5"/>
  <c r="A109" i="5"/>
  <c r="CP34" i="8"/>
  <c r="CO34" i="8"/>
  <c r="CN34" i="8"/>
  <c r="CM34" i="8"/>
  <c r="CJ34" i="8"/>
  <c r="CI34" i="8"/>
  <c r="CH34" i="8"/>
  <c r="CG34" i="8"/>
  <c r="CF34" i="8"/>
  <c r="CE34" i="8"/>
  <c r="CD34" i="8"/>
  <c r="CC34" i="8"/>
  <c r="CB34" i="8"/>
  <c r="CA34" i="8"/>
  <c r="BZ34" i="8"/>
  <c r="BX34" i="8"/>
  <c r="BW34" i="8"/>
  <c r="BV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CP33" i="8"/>
  <c r="CO33" i="8"/>
  <c r="CN33" i="8"/>
  <c r="CM33" i="8"/>
  <c r="CJ33" i="8"/>
  <c r="CI33" i="8"/>
  <c r="CH33" i="8"/>
  <c r="CG33" i="8"/>
  <c r="CF33" i="8"/>
  <c r="CE33" i="8"/>
  <c r="CD33" i="8"/>
  <c r="CC33" i="8"/>
  <c r="CB33" i="8"/>
  <c r="CA33" i="8"/>
  <c r="BZ33" i="8"/>
  <c r="BX33" i="8"/>
  <c r="BW33" i="8"/>
  <c r="BV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CP32" i="8"/>
  <c r="CO32" i="8"/>
  <c r="CN32" i="8"/>
  <c r="CM32" i="8"/>
  <c r="CJ32" i="8"/>
  <c r="CI32" i="8"/>
  <c r="CH32" i="8"/>
  <c r="CG32" i="8"/>
  <c r="CF32" i="8"/>
  <c r="CE32" i="8"/>
  <c r="CD32" i="8"/>
  <c r="CC32" i="8"/>
  <c r="CB32" i="8"/>
  <c r="CA32" i="8"/>
  <c r="BZ32" i="8"/>
  <c r="BX32" i="8"/>
  <c r="BW32" i="8"/>
  <c r="BV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CP8" i="8"/>
  <c r="CP59" i="8"/>
  <c r="CO59" i="8"/>
  <c r="CJ59" i="8"/>
  <c r="CI59" i="8"/>
  <c r="CH59" i="8"/>
  <c r="CG59" i="8"/>
  <c r="CF59" i="8"/>
  <c r="CE59" i="8"/>
  <c r="CD59" i="8"/>
  <c r="CC59" i="8"/>
  <c r="CB59" i="8"/>
  <c r="CA59" i="8"/>
  <c r="BZ59" i="8"/>
  <c r="BX59" i="8"/>
  <c r="BW59" i="8"/>
  <c r="BV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CP58" i="8"/>
  <c r="CO58" i="8"/>
  <c r="CJ58" i="8"/>
  <c r="CI58" i="8"/>
  <c r="CH58" i="8"/>
  <c r="CG58" i="8"/>
  <c r="CF58" i="8"/>
  <c r="CE58" i="8"/>
  <c r="CD58" i="8"/>
  <c r="CC58" i="8"/>
  <c r="CB58" i="8"/>
  <c r="CA58" i="8"/>
  <c r="BZ58" i="8"/>
  <c r="BX58" i="8"/>
  <c r="BW58" i="8"/>
  <c r="BV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CP57" i="8"/>
  <c r="CO57" i="8"/>
  <c r="CN57" i="8"/>
  <c r="CM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CP56" i="8"/>
  <c r="CO56" i="8"/>
  <c r="CN56" i="8"/>
  <c r="CM56" i="8"/>
  <c r="CJ56" i="8"/>
  <c r="CI56" i="8"/>
  <c r="CH56" i="8"/>
  <c r="CG56" i="8"/>
  <c r="CF56" i="8"/>
  <c r="CE56" i="8"/>
  <c r="CD56" i="8"/>
  <c r="CC56" i="8"/>
  <c r="CB56" i="8"/>
  <c r="CA56" i="8"/>
  <c r="BZ56" i="8"/>
  <c r="BX56" i="8"/>
  <c r="BW56" i="8"/>
  <c r="BV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CP55" i="8"/>
  <c r="CO55" i="8"/>
  <c r="CN55" i="8"/>
  <c r="CM55" i="8"/>
  <c r="CJ55" i="8"/>
  <c r="CI55" i="8"/>
  <c r="CH55" i="8"/>
  <c r="CG55" i="8"/>
  <c r="CF55" i="8"/>
  <c r="CE55" i="8"/>
  <c r="CD55" i="8"/>
  <c r="CC55" i="8"/>
  <c r="CB55" i="8"/>
  <c r="CA55" i="8"/>
  <c r="BZ55" i="8"/>
  <c r="BX55" i="8"/>
  <c r="BW55" i="8"/>
  <c r="BV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CP54" i="8"/>
  <c r="CO54" i="8"/>
  <c r="CN54" i="8"/>
  <c r="CM54" i="8"/>
  <c r="CJ54" i="8"/>
  <c r="CI54" i="8"/>
  <c r="CG54" i="8"/>
  <c r="CF54" i="8"/>
  <c r="CE54" i="8"/>
  <c r="CD54" i="8"/>
  <c r="CC54" i="8"/>
  <c r="CB54" i="8"/>
  <c r="CA54" i="8"/>
  <c r="BZ54" i="8"/>
  <c r="BX54" i="8"/>
  <c r="BW54" i="8"/>
  <c r="BV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CP53" i="8"/>
  <c r="CO53" i="8"/>
  <c r="CN53" i="8"/>
  <c r="CM53" i="8"/>
  <c r="CJ53" i="8"/>
  <c r="CI53" i="8"/>
  <c r="CG53" i="8"/>
  <c r="CF53" i="8"/>
  <c r="CE53" i="8"/>
  <c r="CD53" i="8"/>
  <c r="CC53" i="8"/>
  <c r="CB53" i="8"/>
  <c r="CA53" i="8"/>
  <c r="BZ53" i="8"/>
  <c r="BX53" i="8"/>
  <c r="BW53" i="8"/>
  <c r="BV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CP52" i="8"/>
  <c r="CO52" i="8"/>
  <c r="CN52" i="8"/>
  <c r="CM52" i="8"/>
  <c r="CJ52" i="8"/>
  <c r="CI52" i="8"/>
  <c r="CG52" i="8"/>
  <c r="CF52" i="8"/>
  <c r="CE52" i="8"/>
  <c r="CD52" i="8"/>
  <c r="CC52" i="8"/>
  <c r="CB52" i="8"/>
  <c r="CA52" i="8"/>
  <c r="BZ52" i="8"/>
  <c r="BX52" i="8"/>
  <c r="BW52" i="8"/>
  <c r="BV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CP51" i="8"/>
  <c r="CO51" i="8"/>
  <c r="CN51" i="8"/>
  <c r="CM51" i="8"/>
  <c r="CJ51" i="8"/>
  <c r="CI51" i="8"/>
  <c r="CH51" i="8"/>
  <c r="CG51" i="8"/>
  <c r="CE51" i="8"/>
  <c r="CD51" i="8"/>
  <c r="CC51" i="8"/>
  <c r="CB51" i="8"/>
  <c r="CA51" i="8"/>
  <c r="BZ51" i="8"/>
  <c r="BX51" i="8"/>
  <c r="BW51" i="8"/>
  <c r="BV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CP50" i="8"/>
  <c r="CO50" i="8"/>
  <c r="CN50" i="8"/>
  <c r="CM50" i="8"/>
  <c r="CJ50" i="8"/>
  <c r="CI50" i="8"/>
  <c r="CH50" i="8"/>
  <c r="CG50" i="8"/>
  <c r="CF50" i="8"/>
  <c r="CE50" i="8"/>
  <c r="CD50" i="8"/>
  <c r="CC50" i="8"/>
  <c r="CB50" i="8"/>
  <c r="CA50" i="8"/>
  <c r="BZ50" i="8"/>
  <c r="BX50" i="8"/>
  <c r="BW50" i="8"/>
  <c r="BV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CP49" i="8"/>
  <c r="CO49" i="8"/>
  <c r="CN49" i="8"/>
  <c r="CM49" i="8"/>
  <c r="CJ49" i="8"/>
  <c r="CI49" i="8"/>
  <c r="CF49" i="8"/>
  <c r="CE49" i="8"/>
  <c r="CD49" i="8"/>
  <c r="CC49" i="8"/>
  <c r="CB49" i="8"/>
  <c r="CA49" i="8"/>
  <c r="BZ49" i="8"/>
  <c r="BX49" i="8"/>
  <c r="BW49" i="8"/>
  <c r="BV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CP48" i="8"/>
  <c r="CO48" i="8"/>
  <c r="CN48" i="8"/>
  <c r="CM48" i="8"/>
  <c r="CJ48" i="8"/>
  <c r="CI48" i="8"/>
  <c r="CF48" i="8"/>
  <c r="CE48" i="8"/>
  <c r="CD48" i="8"/>
  <c r="CC48" i="8"/>
  <c r="CB48" i="8"/>
  <c r="CA48" i="8"/>
  <c r="BX48" i="8"/>
  <c r="BW48" i="8"/>
  <c r="BV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CP47" i="8"/>
  <c r="CO47" i="8"/>
  <c r="CN47" i="8"/>
  <c r="CM47" i="8"/>
  <c r="CJ47" i="8"/>
  <c r="CI47" i="8"/>
  <c r="CH47" i="8"/>
  <c r="CG47" i="8"/>
  <c r="CF47" i="8"/>
  <c r="CE47" i="8"/>
  <c r="CD47" i="8"/>
  <c r="CC47" i="8"/>
  <c r="CB47" i="8"/>
  <c r="CA47" i="8"/>
  <c r="BZ47" i="8"/>
  <c r="BX47" i="8"/>
  <c r="BW47" i="8"/>
  <c r="BV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CP46" i="8"/>
  <c r="CN46" i="8"/>
  <c r="CM46" i="8"/>
  <c r="CJ46" i="8"/>
  <c r="CI46" i="8"/>
  <c r="CH46" i="8"/>
  <c r="CG46" i="8"/>
  <c r="CF46" i="8"/>
  <c r="CE46" i="8"/>
  <c r="CD46" i="8"/>
  <c r="CC46" i="8"/>
  <c r="CB46" i="8"/>
  <c r="CA46" i="8"/>
  <c r="BZ46" i="8"/>
  <c r="BX46" i="8"/>
  <c r="BW46" i="8"/>
  <c r="BV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CP45" i="8"/>
  <c r="CN45" i="8"/>
  <c r="CM45" i="8"/>
  <c r="CJ45" i="8"/>
  <c r="CI45" i="8"/>
  <c r="CH45" i="8"/>
  <c r="CG45" i="8"/>
  <c r="CF45" i="8"/>
  <c r="CE45" i="8"/>
  <c r="CD45" i="8"/>
  <c r="CC45" i="8"/>
  <c r="CB45" i="8"/>
  <c r="CA45" i="8"/>
  <c r="BZ45" i="8"/>
  <c r="BX45" i="8"/>
  <c r="BW45" i="8"/>
  <c r="BV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CP44" i="8"/>
  <c r="CO44" i="8"/>
  <c r="CN44" i="8"/>
  <c r="CM44" i="8"/>
  <c r="CJ44" i="8"/>
  <c r="CI44" i="8"/>
  <c r="CH44" i="8"/>
  <c r="CG44" i="8"/>
  <c r="CF44" i="8"/>
  <c r="CE44" i="8"/>
  <c r="CD44" i="8"/>
  <c r="CC44" i="8"/>
  <c r="CB44" i="8"/>
  <c r="CA44" i="8"/>
  <c r="BZ44" i="8"/>
  <c r="BX44" i="8"/>
  <c r="BW44" i="8"/>
  <c r="BV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CP43" i="8"/>
  <c r="CO43" i="8"/>
  <c r="CN43" i="8"/>
  <c r="CM43" i="8"/>
  <c r="CJ43" i="8"/>
  <c r="CI43" i="8"/>
  <c r="CH43" i="8"/>
  <c r="CG43" i="8"/>
  <c r="CF43" i="8"/>
  <c r="CD43" i="8"/>
  <c r="CC43" i="8"/>
  <c r="CB43" i="8"/>
  <c r="CA43" i="8"/>
  <c r="BZ43" i="8"/>
  <c r="BX43" i="8"/>
  <c r="BW43" i="8"/>
  <c r="BV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G43" i="8"/>
  <c r="AF43" i="8"/>
  <c r="CP42" i="8"/>
  <c r="CO42" i="8"/>
  <c r="CN42" i="8"/>
  <c r="CM42" i="8"/>
  <c r="CJ42" i="8"/>
  <c r="CI42" i="8"/>
  <c r="CH42" i="8"/>
  <c r="CG42" i="8"/>
  <c r="CF42" i="8"/>
  <c r="CD42" i="8"/>
  <c r="CC42" i="8"/>
  <c r="CB42" i="8"/>
  <c r="CA42" i="8"/>
  <c r="BZ42" i="8"/>
  <c r="BX42" i="8"/>
  <c r="BW42" i="8"/>
  <c r="BV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G42" i="8"/>
  <c r="AF42" i="8"/>
  <c r="CP41" i="8"/>
  <c r="CO41" i="8"/>
  <c r="CN41" i="8"/>
  <c r="CM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W41" i="8"/>
  <c r="BV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CP40" i="8"/>
  <c r="CO40" i="8"/>
  <c r="CN40" i="8"/>
  <c r="CM40" i="8"/>
  <c r="CJ40" i="8"/>
  <c r="CI40" i="8"/>
  <c r="CH40" i="8"/>
  <c r="CG40" i="8"/>
  <c r="CF40" i="8"/>
  <c r="CE40" i="8"/>
  <c r="CD40" i="8"/>
  <c r="CC40" i="8"/>
  <c r="CB40" i="8"/>
  <c r="CA40" i="8"/>
  <c r="BZ40" i="8"/>
  <c r="BX40" i="8"/>
  <c r="BW40" i="8"/>
  <c r="BV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CP31" i="8"/>
  <c r="CF24" i="8"/>
  <c r="BD23" i="8"/>
  <c r="AT22" i="8"/>
  <c r="AX21" i="8"/>
  <c r="CB20" i="8"/>
  <c r="AT20" i="8"/>
  <c r="BZ19" i="8"/>
  <c r="BB19" i="8"/>
  <c r="BT18" i="8"/>
  <c r="AX18" i="8"/>
  <c r="CN17" i="8"/>
  <c r="BP17" i="8"/>
  <c r="AW17" i="8"/>
  <c r="CA16" i="8"/>
  <c r="BI16" i="8"/>
  <c r="AS16" i="8"/>
  <c r="CN15" i="8"/>
  <c r="BV15" i="8"/>
  <c r="BE15" i="8"/>
  <c r="AO15" i="8"/>
  <c r="CI14" i="8"/>
  <c r="CA14" i="8"/>
  <c r="BQ14" i="8"/>
  <c r="BI14" i="8"/>
  <c r="BA14" i="8"/>
  <c r="AS14" i="8"/>
  <c r="AK14" i="8"/>
  <c r="CN13" i="8"/>
  <c r="CE13" i="8"/>
  <c r="BV13" i="8"/>
  <c r="BM13" i="8"/>
  <c r="BE13" i="8"/>
  <c r="AW13" i="8"/>
  <c r="AP13" i="8"/>
  <c r="AK13" i="8"/>
  <c r="CJ12" i="8"/>
  <c r="CE12" i="8"/>
  <c r="BZ12" i="8"/>
  <c r="BR12" i="8"/>
  <c r="BM12" i="8"/>
  <c r="BH12" i="8"/>
  <c r="BB12" i="8"/>
  <c r="AW12" i="8"/>
  <c r="AR12" i="8"/>
  <c r="AL12" i="8"/>
  <c r="CM11" i="8"/>
  <c r="CF11" i="8"/>
  <c r="CA11" i="8"/>
  <c r="BT11" i="8"/>
  <c r="BN11" i="8"/>
  <c r="BI11" i="8"/>
  <c r="BD11" i="8"/>
  <c r="AX11" i="8"/>
  <c r="AS11" i="8"/>
  <c r="AN11" i="8"/>
  <c r="CN10" i="8"/>
  <c r="CH10" i="8"/>
  <c r="CB10" i="8"/>
  <c r="BV10" i="8"/>
  <c r="BP10" i="8"/>
  <c r="BJ10" i="8"/>
  <c r="BE10" i="8"/>
  <c r="AZ10" i="8"/>
  <c r="AT10" i="8"/>
  <c r="AO10" i="8"/>
  <c r="CO9" i="8"/>
  <c r="CI9" i="8"/>
  <c r="CH9" i="8"/>
  <c r="CD9" i="8"/>
  <c r="CB9" i="8"/>
  <c r="CA9" i="8"/>
  <c r="BW9" i="8"/>
  <c r="BV9" i="8"/>
  <c r="BT9" i="8"/>
  <c r="BR9" i="8"/>
  <c r="BQ9" i="8"/>
  <c r="BP9" i="8"/>
  <c r="BN9" i="8"/>
  <c r="BM9" i="8"/>
  <c r="BL9" i="8"/>
  <c r="BJ9" i="8"/>
  <c r="BI9" i="8"/>
  <c r="BH9" i="8"/>
  <c r="BF9" i="8"/>
  <c r="BE9" i="8"/>
  <c r="BD9" i="8"/>
  <c r="BB9" i="8"/>
  <c r="BA9" i="8"/>
  <c r="AZ9" i="8"/>
  <c r="AX9" i="8"/>
  <c r="AW9" i="8"/>
  <c r="AV9" i="8"/>
  <c r="AT9" i="8"/>
  <c r="AS9" i="8"/>
  <c r="AR9" i="8"/>
  <c r="AP9" i="8"/>
  <c r="AO9" i="8"/>
  <c r="AN9" i="8"/>
  <c r="AL9" i="8"/>
  <c r="AK9" i="8"/>
  <c r="CO8" i="8"/>
  <c r="CN8" i="8"/>
  <c r="CM8" i="8"/>
  <c r="CJ8" i="8"/>
  <c r="CI8" i="8"/>
  <c r="CH8" i="8"/>
  <c r="CF8" i="8"/>
  <c r="CE8" i="8"/>
  <c r="CD8" i="8"/>
  <c r="CB8" i="8"/>
  <c r="CA8" i="8"/>
  <c r="BZ8" i="8"/>
  <c r="BW8" i="8"/>
  <c r="BV8" i="8"/>
  <c r="BT8" i="8"/>
  <c r="BR8" i="8"/>
  <c r="BQ8" i="8"/>
  <c r="BP8" i="8"/>
  <c r="BN8" i="8"/>
  <c r="BM8" i="8"/>
  <c r="BL8" i="8"/>
  <c r="BJ8" i="8"/>
  <c r="BI8" i="8"/>
  <c r="BH8" i="8"/>
  <c r="BF8" i="8"/>
  <c r="BE8" i="8"/>
  <c r="BD8" i="8"/>
  <c r="BB8" i="8"/>
  <c r="BA8" i="8"/>
  <c r="AZ8" i="8"/>
  <c r="AX8" i="8"/>
  <c r="AW8" i="8"/>
  <c r="AV8" i="8"/>
  <c r="AT8" i="8"/>
  <c r="AS8" i="8"/>
  <c r="AR8" i="8"/>
  <c r="AP8" i="8"/>
  <c r="AO8" i="8"/>
  <c r="AN8" i="8"/>
  <c r="AL8" i="8"/>
  <c r="AK8" i="8"/>
  <c r="CP7" i="8"/>
  <c r="CO7" i="8"/>
  <c r="CN7" i="8"/>
  <c r="CM7" i="8"/>
  <c r="CJ7" i="8"/>
  <c r="CI7" i="8"/>
  <c r="CH7" i="8"/>
  <c r="CG7" i="8"/>
  <c r="CF7" i="8"/>
  <c r="CE7" i="8"/>
  <c r="CD7" i="8"/>
  <c r="CC7" i="8"/>
  <c r="CB7" i="8"/>
  <c r="CA7" i="8"/>
  <c r="BZ7" i="8"/>
  <c r="BX7" i="8"/>
  <c r="BW7" i="8"/>
  <c r="BV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Y109" i="5" l="1"/>
  <c r="CP9" i="8"/>
  <c r="CG9" i="8"/>
  <c r="CC9" i="8"/>
  <c r="BX9" i="8"/>
  <c r="CP10" i="8"/>
  <c r="CG10" i="8"/>
  <c r="CC10" i="8"/>
  <c r="BX10" i="8"/>
  <c r="BS10" i="8"/>
  <c r="BO10" i="8"/>
  <c r="BK10" i="8"/>
  <c r="BG10" i="8"/>
  <c r="BC10" i="8"/>
  <c r="AY10" i="8"/>
  <c r="AU10" i="8"/>
  <c r="AQ10" i="8"/>
  <c r="AM10" i="8"/>
  <c r="CP11" i="8"/>
  <c r="CG11" i="8"/>
  <c r="CC11" i="8"/>
  <c r="BX11" i="8"/>
  <c r="BS11" i="8"/>
  <c r="BO11" i="8"/>
  <c r="BK11" i="8"/>
  <c r="BG11" i="8"/>
  <c r="BC11" i="8"/>
  <c r="AY11" i="8"/>
  <c r="AU11" i="8"/>
  <c r="AQ11" i="8"/>
  <c r="AM11" i="8"/>
  <c r="CP12" i="8"/>
  <c r="CG12" i="8"/>
  <c r="CC12" i="8"/>
  <c r="BX12" i="8"/>
  <c r="BS12" i="8"/>
  <c r="BO12" i="8"/>
  <c r="BK12" i="8"/>
  <c r="BG12" i="8"/>
  <c r="BC12" i="8"/>
  <c r="AY12" i="8"/>
  <c r="AU12" i="8"/>
  <c r="AQ12" i="8"/>
  <c r="AM12" i="8"/>
  <c r="CM13" i="8"/>
  <c r="CH13" i="8"/>
  <c r="CD13" i="8"/>
  <c r="BZ13" i="8"/>
  <c r="BT13" i="8"/>
  <c r="BP13" i="8"/>
  <c r="BL13" i="8"/>
  <c r="BH13" i="8"/>
  <c r="BD13" i="8"/>
  <c r="AZ13" i="8"/>
  <c r="AV13" i="8"/>
  <c r="CP13" i="8"/>
  <c r="CG13" i="8"/>
  <c r="CC13" i="8"/>
  <c r="BX13" i="8"/>
  <c r="BS13" i="8"/>
  <c r="BO13" i="8"/>
  <c r="BK13" i="8"/>
  <c r="BG13" i="8"/>
  <c r="BC13" i="8"/>
  <c r="AY13" i="8"/>
  <c r="AU13" i="8"/>
  <c r="AQ13" i="8"/>
  <c r="AM13" i="8"/>
  <c r="CM14" i="8"/>
  <c r="CH14" i="8"/>
  <c r="CD14" i="8"/>
  <c r="BZ14" i="8"/>
  <c r="BT14" i="8"/>
  <c r="BP14" i="8"/>
  <c r="BL14" i="8"/>
  <c r="BH14" i="8"/>
  <c r="BD14" i="8"/>
  <c r="AZ14" i="8"/>
  <c r="AV14" i="8"/>
  <c r="AR14" i="8"/>
  <c r="AN14" i="8"/>
  <c r="CP14" i="8"/>
  <c r="CG14" i="8"/>
  <c r="CC14" i="8"/>
  <c r="BX14" i="8"/>
  <c r="BS14" i="8"/>
  <c r="BO14" i="8"/>
  <c r="BK14" i="8"/>
  <c r="BG14" i="8"/>
  <c r="BC14" i="8"/>
  <c r="AY14" i="8"/>
  <c r="AU14" i="8"/>
  <c r="AQ14" i="8"/>
  <c r="AM14" i="8"/>
  <c r="CM15" i="8"/>
  <c r="CH15" i="8"/>
  <c r="CD15" i="8"/>
  <c r="BZ15" i="8"/>
  <c r="BT15" i="8"/>
  <c r="BP15" i="8"/>
  <c r="BL15" i="8"/>
  <c r="BH15" i="8"/>
  <c r="BD15" i="8"/>
  <c r="AZ15" i="8"/>
  <c r="AV15" i="8"/>
  <c r="AR15" i="8"/>
  <c r="AN15" i="8"/>
  <c r="CP15" i="8"/>
  <c r="CG15" i="8"/>
  <c r="CC15" i="8"/>
  <c r="BX15" i="8"/>
  <c r="BS15" i="8"/>
  <c r="BO15" i="8"/>
  <c r="BK15" i="8"/>
  <c r="BG15" i="8"/>
  <c r="BC15" i="8"/>
  <c r="AY15" i="8"/>
  <c r="AU15" i="8"/>
  <c r="AQ15" i="8"/>
  <c r="AM15" i="8"/>
  <c r="CO15" i="8"/>
  <c r="CJ15" i="8"/>
  <c r="CF15" i="8"/>
  <c r="CB15" i="8"/>
  <c r="BW15" i="8"/>
  <c r="BR15" i="8"/>
  <c r="BN15" i="8"/>
  <c r="BJ15" i="8"/>
  <c r="BF15" i="8"/>
  <c r="BB15" i="8"/>
  <c r="AX15" i="8"/>
  <c r="AT15" i="8"/>
  <c r="AP15" i="8"/>
  <c r="CM16" i="8"/>
  <c r="CH16" i="8"/>
  <c r="CD16" i="8"/>
  <c r="BZ16" i="8"/>
  <c r="BT16" i="8"/>
  <c r="BP16" i="8"/>
  <c r="BL16" i="8"/>
  <c r="BH16" i="8"/>
  <c r="BD16" i="8"/>
  <c r="AZ16" i="8"/>
  <c r="AV16" i="8"/>
  <c r="AR16" i="8"/>
  <c r="AN16" i="8"/>
  <c r="CP16" i="8"/>
  <c r="CG16" i="8"/>
  <c r="CC16" i="8"/>
  <c r="BX16" i="8"/>
  <c r="BS16" i="8"/>
  <c r="BO16" i="8"/>
  <c r="BK16" i="8"/>
  <c r="BG16" i="8"/>
  <c r="BC16" i="8"/>
  <c r="AY16" i="8"/>
  <c r="AU16" i="8"/>
  <c r="AQ16" i="8"/>
  <c r="AM16" i="8"/>
  <c r="CO16" i="8"/>
  <c r="CJ16" i="8"/>
  <c r="CF16" i="8"/>
  <c r="CB16" i="8"/>
  <c r="BW16" i="8"/>
  <c r="BR16" i="8"/>
  <c r="BN16" i="8"/>
  <c r="BJ16" i="8"/>
  <c r="BF16" i="8"/>
  <c r="BB16" i="8"/>
  <c r="AX16" i="8"/>
  <c r="AT16" i="8"/>
  <c r="AP16" i="8"/>
  <c r="AL16" i="8"/>
  <c r="CP17" i="8"/>
  <c r="CG17" i="8"/>
  <c r="CC17" i="8"/>
  <c r="BX17" i="8"/>
  <c r="BS17" i="8"/>
  <c r="BO17" i="8"/>
  <c r="BK17" i="8"/>
  <c r="BG17" i="8"/>
  <c r="CM17" i="8"/>
  <c r="CF17" i="8"/>
  <c r="CA17" i="8"/>
  <c r="BT17" i="8"/>
  <c r="BN17" i="8"/>
  <c r="BI17" i="8"/>
  <c r="BD17" i="8"/>
  <c r="AZ17" i="8"/>
  <c r="AV17" i="8"/>
  <c r="AR17" i="8"/>
  <c r="AN17" i="8"/>
  <c r="CJ17" i="8"/>
  <c r="CE17" i="8"/>
  <c r="BZ17" i="8"/>
  <c r="BR17" i="8"/>
  <c r="BM17" i="8"/>
  <c r="BH17" i="8"/>
  <c r="BC17" i="8"/>
  <c r="AY17" i="8"/>
  <c r="AU17" i="8"/>
  <c r="AQ17" i="8"/>
  <c r="AM17" i="8"/>
  <c r="CO17" i="8"/>
  <c r="CI17" i="8"/>
  <c r="CD17" i="8"/>
  <c r="BW17" i="8"/>
  <c r="BQ17" i="8"/>
  <c r="BL17" i="8"/>
  <c r="BF17" i="8"/>
  <c r="BB17" i="8"/>
  <c r="AX17" i="8"/>
  <c r="AT17" i="8"/>
  <c r="AP17" i="8"/>
  <c r="AL17" i="8"/>
  <c r="CP18" i="8"/>
  <c r="CG18" i="8"/>
  <c r="CC18" i="8"/>
  <c r="BX18" i="8"/>
  <c r="BS18" i="8"/>
  <c r="BO18" i="8"/>
  <c r="BK18" i="8"/>
  <c r="BG18" i="8"/>
  <c r="BC18" i="8"/>
  <c r="AY18" i="8"/>
  <c r="AU18" i="8"/>
  <c r="AQ18" i="8"/>
  <c r="AM18" i="8"/>
  <c r="CJ18" i="8"/>
  <c r="CE18" i="8"/>
  <c r="BZ18" i="8"/>
  <c r="BR18" i="8"/>
  <c r="BM18" i="8"/>
  <c r="BH18" i="8"/>
  <c r="BB18" i="8"/>
  <c r="AW18" i="8"/>
  <c r="AR18" i="8"/>
  <c r="AL18" i="8"/>
  <c r="CO18" i="8"/>
  <c r="CI18" i="8"/>
  <c r="CD18" i="8"/>
  <c r="BW18" i="8"/>
  <c r="BQ18" i="8"/>
  <c r="BL18" i="8"/>
  <c r="BF18" i="8"/>
  <c r="BA18" i="8"/>
  <c r="AV18" i="8"/>
  <c r="AP18" i="8"/>
  <c r="AK18" i="8"/>
  <c r="CN18" i="8"/>
  <c r="CH18" i="8"/>
  <c r="CB18" i="8"/>
  <c r="BV18" i="8"/>
  <c r="BP18" i="8"/>
  <c r="BJ18" i="8"/>
  <c r="BE18" i="8"/>
  <c r="AZ18" i="8"/>
  <c r="AT18" i="8"/>
  <c r="AO18" i="8"/>
  <c r="CM19" i="8"/>
  <c r="CH19" i="8"/>
  <c r="CD19" i="8"/>
  <c r="CP19" i="8"/>
  <c r="CG19" i="8"/>
  <c r="CC19" i="8"/>
  <c r="BX19" i="8"/>
  <c r="BS19" i="8"/>
  <c r="BO19" i="8"/>
  <c r="BK19" i="8"/>
  <c r="BG19" i="8"/>
  <c r="BC19" i="8"/>
  <c r="AY19" i="8"/>
  <c r="AU19" i="8"/>
  <c r="AQ19" i="8"/>
  <c r="AM19" i="8"/>
  <c r="CN19" i="8"/>
  <c r="CE19" i="8"/>
  <c r="BW19" i="8"/>
  <c r="BQ19" i="8"/>
  <c r="BL19" i="8"/>
  <c r="BF19" i="8"/>
  <c r="BA19" i="8"/>
  <c r="AV19" i="8"/>
  <c r="AP19" i="8"/>
  <c r="AK19" i="8"/>
  <c r="CJ19" i="8"/>
  <c r="CB19" i="8"/>
  <c r="BV19" i="8"/>
  <c r="BP19" i="8"/>
  <c r="BJ19" i="8"/>
  <c r="BE19" i="8"/>
  <c r="AZ19" i="8"/>
  <c r="AT19" i="8"/>
  <c r="AO19" i="8"/>
  <c r="CI19" i="8"/>
  <c r="CA19" i="8"/>
  <c r="BT19" i="8"/>
  <c r="BN19" i="8"/>
  <c r="BI19" i="8"/>
  <c r="BD19" i="8"/>
  <c r="AX19" i="8"/>
  <c r="AS19" i="8"/>
  <c r="AN19" i="8"/>
  <c r="CM20" i="8"/>
  <c r="CH20" i="8"/>
  <c r="CD20" i="8"/>
  <c r="BZ20" i="8"/>
  <c r="BT20" i="8"/>
  <c r="BP20" i="8"/>
  <c r="BL20" i="8"/>
  <c r="BH20" i="8"/>
  <c r="BD20" i="8"/>
  <c r="AZ20" i="8"/>
  <c r="AV20" i="8"/>
  <c r="AR20" i="8"/>
  <c r="AN20" i="8"/>
  <c r="CP20" i="8"/>
  <c r="CG20" i="8"/>
  <c r="CC20" i="8"/>
  <c r="BX20" i="8"/>
  <c r="BS20" i="8"/>
  <c r="BO20" i="8"/>
  <c r="BK20" i="8"/>
  <c r="BG20" i="8"/>
  <c r="BC20" i="8"/>
  <c r="AY20" i="8"/>
  <c r="AU20" i="8"/>
  <c r="AQ20" i="8"/>
  <c r="AM20" i="8"/>
  <c r="CI20" i="8"/>
  <c r="CA20" i="8"/>
  <c r="BQ20" i="8"/>
  <c r="BI20" i="8"/>
  <c r="BA20" i="8"/>
  <c r="AS20" i="8"/>
  <c r="AK20" i="8"/>
  <c r="CO20" i="8"/>
  <c r="CF20" i="8"/>
  <c r="BW20" i="8"/>
  <c r="BN20" i="8"/>
  <c r="BF20" i="8"/>
  <c r="AX20" i="8"/>
  <c r="AP20" i="8"/>
  <c r="CN20" i="8"/>
  <c r="CE20" i="8"/>
  <c r="BV20" i="8"/>
  <c r="BM20" i="8"/>
  <c r="BE20" i="8"/>
  <c r="AW20" i="8"/>
  <c r="AO20" i="8"/>
  <c r="CN21" i="8"/>
  <c r="CI21" i="8"/>
  <c r="CE21" i="8"/>
  <c r="CA21" i="8"/>
  <c r="BV21" i="8"/>
  <c r="BQ21" i="8"/>
  <c r="BM21" i="8"/>
  <c r="BI21" i="8"/>
  <c r="CM21" i="8"/>
  <c r="CH21" i="8"/>
  <c r="CD21" i="8"/>
  <c r="BZ21" i="8"/>
  <c r="BT21" i="8"/>
  <c r="BP21" i="8"/>
  <c r="BL21" i="8"/>
  <c r="BH21" i="8"/>
  <c r="BD21" i="8"/>
  <c r="AZ21" i="8"/>
  <c r="AV21" i="8"/>
  <c r="AR21" i="8"/>
  <c r="AN21" i="8"/>
  <c r="CP21" i="8"/>
  <c r="CG21" i="8"/>
  <c r="CC21" i="8"/>
  <c r="BX21" i="8"/>
  <c r="BS21" i="8"/>
  <c r="BO21" i="8"/>
  <c r="BK21" i="8"/>
  <c r="BG21" i="8"/>
  <c r="BC21" i="8"/>
  <c r="AY21" i="8"/>
  <c r="AU21" i="8"/>
  <c r="AQ21" i="8"/>
  <c r="AM21" i="8"/>
  <c r="CJ21" i="8"/>
  <c r="BR21" i="8"/>
  <c r="BE21" i="8"/>
  <c r="AW21" i="8"/>
  <c r="AO21" i="8"/>
  <c r="CF21" i="8"/>
  <c r="BN21" i="8"/>
  <c r="BB21" i="8"/>
  <c r="AT21" i="8"/>
  <c r="AL21" i="8"/>
  <c r="CB21" i="8"/>
  <c r="BJ21" i="8"/>
  <c r="BA21" i="8"/>
  <c r="AS21" i="8"/>
  <c r="AK21" i="8"/>
  <c r="CN22" i="8"/>
  <c r="CI22" i="8"/>
  <c r="CE22" i="8"/>
  <c r="CA22" i="8"/>
  <c r="BV22" i="8"/>
  <c r="BQ22" i="8"/>
  <c r="BM22" i="8"/>
  <c r="BI22" i="8"/>
  <c r="BE22" i="8"/>
  <c r="BA22" i="8"/>
  <c r="AW22" i="8"/>
  <c r="AS22" i="8"/>
  <c r="AO22" i="8"/>
  <c r="AK22" i="8"/>
  <c r="CM22" i="8"/>
  <c r="CH22" i="8"/>
  <c r="CD22" i="8"/>
  <c r="BZ22" i="8"/>
  <c r="BT22" i="8"/>
  <c r="BP22" i="8"/>
  <c r="BL22" i="8"/>
  <c r="BH22" i="8"/>
  <c r="BD22" i="8"/>
  <c r="AZ22" i="8"/>
  <c r="AV22" i="8"/>
  <c r="AR22" i="8"/>
  <c r="AN22" i="8"/>
  <c r="CP22" i="8"/>
  <c r="CG22" i="8"/>
  <c r="CC22" i="8"/>
  <c r="BX22" i="8"/>
  <c r="BS22" i="8"/>
  <c r="BO22" i="8"/>
  <c r="BK22" i="8"/>
  <c r="BG22" i="8"/>
  <c r="BC22" i="8"/>
  <c r="AY22" i="8"/>
  <c r="AU22" i="8"/>
  <c r="AQ22" i="8"/>
  <c r="AM22" i="8"/>
  <c r="CO22" i="8"/>
  <c r="BW22" i="8"/>
  <c r="BF22" i="8"/>
  <c r="AP22" i="8"/>
  <c r="CJ22" i="8"/>
  <c r="BR22" i="8"/>
  <c r="BB22" i="8"/>
  <c r="AL22" i="8"/>
  <c r="CF22" i="8"/>
  <c r="BN22" i="8"/>
  <c r="AX22" i="8"/>
  <c r="CN23" i="8"/>
  <c r="CI23" i="8"/>
  <c r="CE23" i="8"/>
  <c r="CA23" i="8"/>
  <c r="BV23" i="8"/>
  <c r="BQ23" i="8"/>
  <c r="BM23" i="8"/>
  <c r="BI23" i="8"/>
  <c r="BE23" i="8"/>
  <c r="BA23" i="8"/>
  <c r="AW23" i="8"/>
  <c r="AS23" i="8"/>
  <c r="AO23" i="8"/>
  <c r="AK23" i="8"/>
  <c r="CF23" i="8"/>
  <c r="BZ23" i="8"/>
  <c r="BS23" i="8"/>
  <c r="BN23" i="8"/>
  <c r="BH23" i="8"/>
  <c r="BC23" i="8"/>
  <c r="AX23" i="8"/>
  <c r="AR23" i="8"/>
  <c r="AM23" i="8"/>
  <c r="CP23" i="8"/>
  <c r="CJ23" i="8"/>
  <c r="CD23" i="8"/>
  <c r="BX23" i="8"/>
  <c r="BR23" i="8"/>
  <c r="BL23" i="8"/>
  <c r="BG23" i="8"/>
  <c r="BB23" i="8"/>
  <c r="AV23" i="8"/>
  <c r="AQ23" i="8"/>
  <c r="AL23" i="8"/>
  <c r="CO23" i="8"/>
  <c r="CH23" i="8"/>
  <c r="CC23" i="8"/>
  <c r="BW23" i="8"/>
  <c r="BP23" i="8"/>
  <c r="BK23" i="8"/>
  <c r="BF23" i="8"/>
  <c r="AZ23" i="8"/>
  <c r="AU23" i="8"/>
  <c r="AP23" i="8"/>
  <c r="BT23" i="8"/>
  <c r="AY23" i="8"/>
  <c r="CM23" i="8"/>
  <c r="BO23" i="8"/>
  <c r="AT23" i="8"/>
  <c r="CG23" i="8"/>
  <c r="BJ23" i="8"/>
  <c r="AN23" i="8"/>
  <c r="CN24" i="8"/>
  <c r="CI24" i="8"/>
  <c r="CE24" i="8"/>
  <c r="CA24" i="8"/>
  <c r="BV24" i="8"/>
  <c r="BQ24" i="8"/>
  <c r="BM24" i="8"/>
  <c r="BI24" i="8"/>
  <c r="BE24" i="8"/>
  <c r="BA24" i="8"/>
  <c r="AW24" i="8"/>
  <c r="AS24" i="8"/>
  <c r="AO24" i="8"/>
  <c r="AK24" i="8"/>
  <c r="CP24" i="8"/>
  <c r="CJ24" i="8"/>
  <c r="CD24" i="8"/>
  <c r="BX24" i="8"/>
  <c r="BR24" i="8"/>
  <c r="BL24" i="8"/>
  <c r="BG24" i="8"/>
  <c r="BB24" i="8"/>
  <c r="AV24" i="8"/>
  <c r="AQ24" i="8"/>
  <c r="AL24" i="8"/>
  <c r="CO24" i="8"/>
  <c r="CH24" i="8"/>
  <c r="CC24" i="8"/>
  <c r="BW24" i="8"/>
  <c r="BP24" i="8"/>
  <c r="BK24" i="8"/>
  <c r="BF24" i="8"/>
  <c r="AZ24" i="8"/>
  <c r="AU24" i="8"/>
  <c r="AP24" i="8"/>
  <c r="CM24" i="8"/>
  <c r="CG24" i="8"/>
  <c r="CB24" i="8"/>
  <c r="BT24" i="8"/>
  <c r="BO24" i="8"/>
  <c r="BJ24" i="8"/>
  <c r="BD24" i="8"/>
  <c r="AY24" i="8"/>
  <c r="AT24" i="8"/>
  <c r="AN24" i="8"/>
  <c r="BZ24" i="8"/>
  <c r="BC24" i="8"/>
  <c r="BS24" i="8"/>
  <c r="AX24" i="8"/>
  <c r="BN24" i="8"/>
  <c r="AR24" i="8"/>
  <c r="CP25" i="8"/>
  <c r="CG25" i="8"/>
  <c r="CC25" i="8"/>
  <c r="BX25" i="8"/>
  <c r="BS25" i="8"/>
  <c r="BO25" i="8"/>
  <c r="BK25" i="8"/>
  <c r="BG25" i="8"/>
  <c r="BC25" i="8"/>
  <c r="AY25" i="8"/>
  <c r="AU25" i="8"/>
  <c r="AQ25" i="8"/>
  <c r="AM25" i="8"/>
  <c r="CO25" i="8"/>
  <c r="CJ25" i="8"/>
  <c r="CF25" i="8"/>
  <c r="CB25" i="8"/>
  <c r="BW25" i="8"/>
  <c r="BR25" i="8"/>
  <c r="BN25" i="8"/>
  <c r="BJ25" i="8"/>
  <c r="BF25" i="8"/>
  <c r="BB25" i="8"/>
  <c r="AX25" i="8"/>
  <c r="AT25" i="8"/>
  <c r="AP25" i="8"/>
  <c r="AL25" i="8"/>
  <c r="CN25" i="8"/>
  <c r="CI25" i="8"/>
  <c r="CE25" i="8"/>
  <c r="CA25" i="8"/>
  <c r="BV25" i="8"/>
  <c r="BQ25" i="8"/>
  <c r="BM25" i="8"/>
  <c r="BI25" i="8"/>
  <c r="BE25" i="8"/>
  <c r="BA25" i="8"/>
  <c r="AW25" i="8"/>
  <c r="AS25" i="8"/>
  <c r="AO25" i="8"/>
  <c r="AK25" i="8"/>
  <c r="CM25" i="8"/>
  <c r="BT25" i="8"/>
  <c r="BD25" i="8"/>
  <c r="AN25" i="8"/>
  <c r="CH25" i="8"/>
  <c r="BP25" i="8"/>
  <c r="AZ25" i="8"/>
  <c r="CD25" i="8"/>
  <c r="BL25" i="8"/>
  <c r="AV25" i="8"/>
  <c r="AR25" i="8"/>
  <c r="BZ25" i="8"/>
  <c r="CN26" i="8"/>
  <c r="CI26" i="8"/>
  <c r="CE26" i="8"/>
  <c r="CA26" i="8"/>
  <c r="BV26" i="8"/>
  <c r="BQ26" i="8"/>
  <c r="BM26" i="8"/>
  <c r="BI26" i="8"/>
  <c r="BE26" i="8"/>
  <c r="BA26" i="8"/>
  <c r="CM26" i="8"/>
  <c r="CG26" i="8"/>
  <c r="CB26" i="8"/>
  <c r="BT26" i="8"/>
  <c r="BO26" i="8"/>
  <c r="BJ26" i="8"/>
  <c r="BD26" i="8"/>
  <c r="AY26" i="8"/>
  <c r="AU26" i="8"/>
  <c r="AQ26" i="8"/>
  <c r="AM26" i="8"/>
  <c r="CF26" i="8"/>
  <c r="BZ26" i="8"/>
  <c r="BS26" i="8"/>
  <c r="BN26" i="8"/>
  <c r="BH26" i="8"/>
  <c r="BC26" i="8"/>
  <c r="AX26" i="8"/>
  <c r="AT26" i="8"/>
  <c r="AP26" i="8"/>
  <c r="AL26" i="8"/>
  <c r="CP26" i="8"/>
  <c r="CJ26" i="8"/>
  <c r="CD26" i="8"/>
  <c r="BX26" i="8"/>
  <c r="BR26" i="8"/>
  <c r="BL26" i="8"/>
  <c r="BG26" i="8"/>
  <c r="BB26" i="8"/>
  <c r="AW26" i="8"/>
  <c r="AS26" i="8"/>
  <c r="AO26" i="8"/>
  <c r="AK26" i="8"/>
  <c r="CH26" i="8"/>
  <c r="BK26" i="8"/>
  <c r="AR26" i="8"/>
  <c r="CC26" i="8"/>
  <c r="BF26" i="8"/>
  <c r="AN26" i="8"/>
  <c r="BW26" i="8"/>
  <c r="AZ26" i="8"/>
  <c r="AV26" i="8"/>
  <c r="CO26" i="8"/>
  <c r="CN27" i="8"/>
  <c r="CI27" i="8"/>
  <c r="CE27" i="8"/>
  <c r="CA27" i="8"/>
  <c r="BV27" i="8"/>
  <c r="BQ27" i="8"/>
  <c r="BM27" i="8"/>
  <c r="BI27" i="8"/>
  <c r="BE27" i="8"/>
  <c r="BA27" i="8"/>
  <c r="AW27" i="8"/>
  <c r="AS27" i="8"/>
  <c r="AO27" i="8"/>
  <c r="AK27" i="8"/>
  <c r="CF27" i="8"/>
  <c r="BZ27" i="8"/>
  <c r="BS27" i="8"/>
  <c r="BN27" i="8"/>
  <c r="BH27" i="8"/>
  <c r="BC27" i="8"/>
  <c r="AX27" i="8"/>
  <c r="AR27" i="8"/>
  <c r="AM27" i="8"/>
  <c r="CP27" i="8"/>
  <c r="CJ27" i="8"/>
  <c r="CD27" i="8"/>
  <c r="BX27" i="8"/>
  <c r="BR27" i="8"/>
  <c r="BL27" i="8"/>
  <c r="BG27" i="8"/>
  <c r="BB27" i="8"/>
  <c r="AV27" i="8"/>
  <c r="AQ27" i="8"/>
  <c r="AL27" i="8"/>
  <c r="CO27" i="8"/>
  <c r="CH27" i="8"/>
  <c r="CC27" i="8"/>
  <c r="BW27" i="8"/>
  <c r="BP27" i="8"/>
  <c r="BK27" i="8"/>
  <c r="BF27" i="8"/>
  <c r="AZ27" i="8"/>
  <c r="AU27" i="8"/>
  <c r="AP27" i="8"/>
  <c r="CM27" i="8"/>
  <c r="BO27" i="8"/>
  <c r="AT27" i="8"/>
  <c r="CG27" i="8"/>
  <c r="BJ27" i="8"/>
  <c r="AN27" i="8"/>
  <c r="CB27" i="8"/>
  <c r="BD27" i="8"/>
  <c r="BT27" i="8"/>
  <c r="AY27" i="8"/>
  <c r="CN28" i="8"/>
  <c r="CI28" i="8"/>
  <c r="CE28" i="8"/>
  <c r="CA28" i="8"/>
  <c r="BV28" i="8"/>
  <c r="BQ28" i="8"/>
  <c r="BM28" i="8"/>
  <c r="BI28" i="8"/>
  <c r="BE28" i="8"/>
  <c r="BA28" i="8"/>
  <c r="AW28" i="8"/>
  <c r="AS28" i="8"/>
  <c r="AO28" i="8"/>
  <c r="AK28" i="8"/>
  <c r="CM28" i="8"/>
  <c r="CH28" i="8"/>
  <c r="CD28" i="8"/>
  <c r="BZ28" i="8"/>
  <c r="BT28" i="8"/>
  <c r="BP28" i="8"/>
  <c r="BL28" i="8"/>
  <c r="BH28" i="8"/>
  <c r="BD28" i="8"/>
  <c r="AZ28" i="8"/>
  <c r="AV28" i="8"/>
  <c r="CP28" i="8"/>
  <c r="CG28" i="8"/>
  <c r="CC28" i="8"/>
  <c r="BX28" i="8"/>
  <c r="BS28" i="8"/>
  <c r="BO28" i="8"/>
  <c r="BK28" i="8"/>
  <c r="BG28" i="8"/>
  <c r="BC28" i="8"/>
  <c r="AY28" i="8"/>
  <c r="AU28" i="8"/>
  <c r="AQ28" i="8"/>
  <c r="CO28" i="8"/>
  <c r="BW28" i="8"/>
  <c r="BF28" i="8"/>
  <c r="AR28" i="8"/>
  <c r="AL28" i="8"/>
  <c r="CJ28" i="8"/>
  <c r="BR28" i="8"/>
  <c r="BB28" i="8"/>
  <c r="AP28" i="8"/>
  <c r="CF28" i="8"/>
  <c r="BN28" i="8"/>
  <c r="AX28" i="8"/>
  <c r="AN28" i="8"/>
  <c r="BJ28" i="8"/>
  <c r="AT28" i="8"/>
  <c r="AM28" i="8"/>
  <c r="CB28" i="8"/>
  <c r="CN29" i="8"/>
  <c r="CI29" i="8"/>
  <c r="CE29" i="8"/>
  <c r="CA29" i="8"/>
  <c r="BV29" i="8"/>
  <c r="BQ29" i="8"/>
  <c r="BM29" i="8"/>
  <c r="BI29" i="8"/>
  <c r="BE29" i="8"/>
  <c r="BA29" i="8"/>
  <c r="AW29" i="8"/>
  <c r="AS29" i="8"/>
  <c r="AO29" i="8"/>
  <c r="AK29" i="8"/>
  <c r="CM29" i="8"/>
  <c r="CH29" i="8"/>
  <c r="CD29" i="8"/>
  <c r="BZ29" i="8"/>
  <c r="BT29" i="8"/>
  <c r="BP29" i="8"/>
  <c r="BL29" i="8"/>
  <c r="BH29" i="8"/>
  <c r="BD29" i="8"/>
  <c r="AZ29" i="8"/>
  <c r="AV29" i="8"/>
  <c r="AR29" i="8"/>
  <c r="AN29" i="8"/>
  <c r="CP29" i="8"/>
  <c r="CG29" i="8"/>
  <c r="CC29" i="8"/>
  <c r="BX29" i="8"/>
  <c r="BS29" i="8"/>
  <c r="BO29" i="8"/>
  <c r="BK29" i="8"/>
  <c r="BG29" i="8"/>
  <c r="BC29" i="8"/>
  <c r="AY29" i="8"/>
  <c r="AU29" i="8"/>
  <c r="AQ29" i="8"/>
  <c r="AM29" i="8"/>
  <c r="CB29" i="8"/>
  <c r="BJ29" i="8"/>
  <c r="AT29" i="8"/>
  <c r="CO29" i="8"/>
  <c r="BW29" i="8"/>
  <c r="BF29" i="8"/>
  <c r="AP29" i="8"/>
  <c r="CJ29" i="8"/>
  <c r="BR29" i="8"/>
  <c r="BB29" i="8"/>
  <c r="AL29" i="8"/>
  <c r="BN29" i="8"/>
  <c r="AX29" i="8"/>
  <c r="CF29" i="8"/>
  <c r="CO30" i="8"/>
  <c r="CJ30" i="8"/>
  <c r="CF30" i="8"/>
  <c r="CB30" i="8"/>
  <c r="BW30" i="8"/>
  <c r="BR30" i="8"/>
  <c r="BN30" i="8"/>
  <c r="BJ30" i="8"/>
  <c r="BF30" i="8"/>
  <c r="BB30" i="8"/>
  <c r="AX30" i="8"/>
  <c r="AT30" i="8"/>
  <c r="AP30" i="8"/>
  <c r="AK30" i="8"/>
  <c r="CN30" i="8"/>
  <c r="CI30" i="8"/>
  <c r="CE30" i="8"/>
  <c r="CA30" i="8"/>
  <c r="BV30" i="8"/>
  <c r="BQ30" i="8"/>
  <c r="BM30" i="8"/>
  <c r="BI30" i="8"/>
  <c r="BE30" i="8"/>
  <c r="BA30" i="8"/>
  <c r="AW30" i="8"/>
  <c r="AS30" i="8"/>
  <c r="AO30" i="8"/>
  <c r="CM30" i="8"/>
  <c r="CH30" i="8"/>
  <c r="CD30" i="8"/>
  <c r="BZ30" i="8"/>
  <c r="BT30" i="8"/>
  <c r="BP30" i="8"/>
  <c r="BL30" i="8"/>
  <c r="BH30" i="8"/>
  <c r="BD30" i="8"/>
  <c r="AZ30" i="8"/>
  <c r="AV30" i="8"/>
  <c r="AR30" i="8"/>
  <c r="AM30" i="8"/>
  <c r="CG30" i="8"/>
  <c r="BO30" i="8"/>
  <c r="AY30" i="8"/>
  <c r="CC30" i="8"/>
  <c r="BK30" i="8"/>
  <c r="AU30" i="8"/>
  <c r="CP30" i="8"/>
  <c r="BX30" i="8"/>
  <c r="BG30" i="8"/>
  <c r="AQ30" i="8"/>
  <c r="BS30" i="8"/>
  <c r="BC30" i="8"/>
  <c r="AL30" i="8"/>
  <c r="CO31" i="8"/>
  <c r="CJ31" i="8"/>
  <c r="CF31" i="8"/>
  <c r="CB31" i="8"/>
  <c r="BW31" i="8"/>
  <c r="BR31" i="8"/>
  <c r="BN31" i="8"/>
  <c r="BJ31" i="8"/>
  <c r="BF31" i="8"/>
  <c r="BB31" i="8"/>
  <c r="AX31" i="8"/>
  <c r="AT31" i="8"/>
  <c r="AP31" i="8"/>
  <c r="AL31" i="8"/>
  <c r="CN31" i="8"/>
  <c r="CI31" i="8"/>
  <c r="CE31" i="8"/>
  <c r="CA31" i="8"/>
  <c r="BV31" i="8"/>
  <c r="BQ31" i="8"/>
  <c r="BM31" i="8"/>
  <c r="BI31" i="8"/>
  <c r="BE31" i="8"/>
  <c r="BA31" i="8"/>
  <c r="AW31" i="8"/>
  <c r="AS31" i="8"/>
  <c r="AO31" i="8"/>
  <c r="AK31" i="8"/>
  <c r="CM31" i="8"/>
  <c r="CH31" i="8"/>
  <c r="CD31" i="8"/>
  <c r="BZ31" i="8"/>
  <c r="BT31" i="8"/>
  <c r="BP31" i="8"/>
  <c r="BL31" i="8"/>
  <c r="BH31" i="8"/>
  <c r="BD31" i="8"/>
  <c r="AZ31" i="8"/>
  <c r="AV31" i="8"/>
  <c r="AR31" i="8"/>
  <c r="AN31" i="8"/>
  <c r="BS31" i="8"/>
  <c r="BC31" i="8"/>
  <c r="AM31" i="8"/>
  <c r="CG31" i="8"/>
  <c r="BO31" i="8"/>
  <c r="AY31" i="8"/>
  <c r="CC31" i="8"/>
  <c r="BK31" i="8"/>
  <c r="AU31" i="8"/>
  <c r="BX31" i="8"/>
  <c r="BG31" i="8"/>
  <c r="AQ31" i="8"/>
  <c r="AM8" i="8"/>
  <c r="AQ8" i="8"/>
  <c r="AU8" i="8"/>
  <c r="AY8" i="8"/>
  <c r="BC8" i="8"/>
  <c r="BG8" i="8"/>
  <c r="BK8" i="8"/>
  <c r="BO8" i="8"/>
  <c r="BS8" i="8"/>
  <c r="BX8" i="8"/>
  <c r="CC8" i="8"/>
  <c r="CG8" i="8"/>
  <c r="AM9" i="8"/>
  <c r="AQ9" i="8"/>
  <c r="AU9" i="8"/>
  <c r="AY9" i="8"/>
  <c r="BC9" i="8"/>
  <c r="BG9" i="8"/>
  <c r="BK9" i="8"/>
  <c r="BO9" i="8"/>
  <c r="BS9" i="8"/>
  <c r="BZ9" i="8"/>
  <c r="CE9" i="8"/>
  <c r="CJ9" i="8"/>
  <c r="AK10" i="8"/>
  <c r="AP10" i="8"/>
  <c r="AV10" i="8"/>
  <c r="BA10" i="8"/>
  <c r="BF10" i="8"/>
  <c r="BL10" i="8"/>
  <c r="BQ10" i="8"/>
  <c r="BW10" i="8"/>
  <c r="CD10" i="8"/>
  <c r="CI10" i="8"/>
  <c r="CO10" i="8"/>
  <c r="AO11" i="8"/>
  <c r="AT11" i="8"/>
  <c r="AZ11" i="8"/>
  <c r="BE11" i="8"/>
  <c r="BJ11" i="8"/>
  <c r="BP11" i="8"/>
  <c r="BV11" i="8"/>
  <c r="CB11" i="8"/>
  <c r="CH11" i="8"/>
  <c r="CN11" i="8"/>
  <c r="AN12" i="8"/>
  <c r="AS12" i="8"/>
  <c r="AX12" i="8"/>
  <c r="BD12" i="8"/>
  <c r="BI12" i="8"/>
  <c r="BN12" i="8"/>
  <c r="BT12" i="8"/>
  <c r="CA12" i="8"/>
  <c r="CF12" i="8"/>
  <c r="CM12" i="8"/>
  <c r="AL13" i="8"/>
  <c r="AR13" i="8"/>
  <c r="AX13" i="8"/>
  <c r="BF13" i="8"/>
  <c r="BN13" i="8"/>
  <c r="BW13" i="8"/>
  <c r="CF13" i="8"/>
  <c r="CO13" i="8"/>
  <c r="AL14" i="8"/>
  <c r="AT14" i="8"/>
  <c r="BB14" i="8"/>
  <c r="BJ14" i="8"/>
  <c r="BR14" i="8"/>
  <c r="CB14" i="8"/>
  <c r="CJ14" i="8"/>
  <c r="AS15" i="8"/>
  <c r="BI15" i="8"/>
  <c r="CA15" i="8"/>
  <c r="AW16" i="8"/>
  <c r="BM16" i="8"/>
  <c r="CE16" i="8"/>
  <c r="AK17" i="8"/>
  <c r="BA17" i="8"/>
  <c r="BV17" i="8"/>
  <c r="BD18" i="8"/>
  <c r="CA18" i="8"/>
  <c r="AL19" i="8"/>
  <c r="BH19" i="8"/>
  <c r="CF19" i="8"/>
  <c r="BB20" i="8"/>
  <c r="CJ20" i="8"/>
  <c r="BF21" i="8"/>
  <c r="BJ22" i="8"/>
  <c r="CB23" i="8"/>
  <c r="BH25" i="8"/>
  <c r="CF9" i="8"/>
  <c r="CM9" i="8"/>
  <c r="AL10" i="8"/>
  <c r="AR10" i="8"/>
  <c r="AW10" i="8"/>
  <c r="BB10" i="8"/>
  <c r="BH10" i="8"/>
  <c r="BM10" i="8"/>
  <c r="BR10" i="8"/>
  <c r="BZ10" i="8"/>
  <c r="CE10" i="8"/>
  <c r="CJ10" i="8"/>
  <c r="AK11" i="8"/>
  <c r="AP11" i="8"/>
  <c r="AV11" i="8"/>
  <c r="BA11" i="8"/>
  <c r="BF11" i="8"/>
  <c r="BL11" i="8"/>
  <c r="BQ11" i="8"/>
  <c r="BW11" i="8"/>
  <c r="CD11" i="8"/>
  <c r="CI11" i="8"/>
  <c r="CO11" i="8"/>
  <c r="AO12" i="8"/>
  <c r="AT12" i="8"/>
  <c r="AZ12" i="8"/>
  <c r="BE12" i="8"/>
  <c r="BJ12" i="8"/>
  <c r="BP12" i="8"/>
  <c r="BV12" i="8"/>
  <c r="CB12" i="8"/>
  <c r="CH12" i="8"/>
  <c r="CN12" i="8"/>
  <c r="AN13" i="8"/>
  <c r="AS13" i="8"/>
  <c r="BA13" i="8"/>
  <c r="BI13" i="8"/>
  <c r="BQ13" i="8"/>
  <c r="CA13" i="8"/>
  <c r="CI13" i="8"/>
  <c r="AO14" i="8"/>
  <c r="AW14" i="8"/>
  <c r="BE14" i="8"/>
  <c r="BM14" i="8"/>
  <c r="BV14" i="8"/>
  <c r="CE14" i="8"/>
  <c r="CN14" i="8"/>
  <c r="AK15" i="8"/>
  <c r="AW15" i="8"/>
  <c r="BM15" i="8"/>
  <c r="CE15" i="8"/>
  <c r="AK16" i="8"/>
  <c r="BA16" i="8"/>
  <c r="BQ16" i="8"/>
  <c r="CI16" i="8"/>
  <c r="AO17" i="8"/>
  <c r="BE17" i="8"/>
  <c r="CB17" i="8"/>
  <c r="AN18" i="8"/>
  <c r="BI18" i="8"/>
  <c r="CF18" i="8"/>
  <c r="AR19" i="8"/>
  <c r="BM19" i="8"/>
  <c r="CO19" i="8"/>
  <c r="BJ20" i="8"/>
  <c r="BW21" i="8"/>
  <c r="CB22" i="8"/>
  <c r="AM24" i="8"/>
  <c r="BP26" i="8"/>
  <c r="CN9" i="8"/>
  <c r="AN10" i="8"/>
  <c r="AS10" i="8"/>
  <c r="AX10" i="8"/>
  <c r="BD10" i="8"/>
  <c r="BI10" i="8"/>
  <c r="BN10" i="8"/>
  <c r="BT10" i="8"/>
  <c r="CA10" i="8"/>
  <c r="CF10" i="8"/>
  <c r="CM10" i="8"/>
  <c r="AL11" i="8"/>
  <c r="AR11" i="8"/>
  <c r="AW11" i="8"/>
  <c r="BB11" i="8"/>
  <c r="BH11" i="8"/>
  <c r="BM11" i="8"/>
  <c r="BR11" i="8"/>
  <c r="BZ11" i="8"/>
  <c r="CE11" i="8"/>
  <c r="CJ11" i="8"/>
  <c r="AK12" i="8"/>
  <c r="AP12" i="8"/>
  <c r="AV12" i="8"/>
  <c r="BA12" i="8"/>
  <c r="BF12" i="8"/>
  <c r="BL12" i="8"/>
  <c r="BQ12" i="8"/>
  <c r="BW12" i="8"/>
  <c r="CD12" i="8"/>
  <c r="CI12" i="8"/>
  <c r="CO12" i="8"/>
  <c r="AO13" i="8"/>
  <c r="AT13" i="8"/>
  <c r="BB13" i="8"/>
  <c r="BJ13" i="8"/>
  <c r="BR13" i="8"/>
  <c r="CB13" i="8"/>
  <c r="CJ13" i="8"/>
  <c r="AP14" i="8"/>
  <c r="AX14" i="8"/>
  <c r="BF14" i="8"/>
  <c r="BN14" i="8"/>
  <c r="BW14" i="8"/>
  <c r="CF14" i="8"/>
  <c r="CO14" i="8"/>
  <c r="AL15" i="8"/>
  <c r="BA15" i="8"/>
  <c r="BQ15" i="8"/>
  <c r="CI15" i="8"/>
  <c r="AO16" i="8"/>
  <c r="BE16" i="8"/>
  <c r="BV16" i="8"/>
  <c r="CN16" i="8"/>
  <c r="AS17" i="8"/>
  <c r="BJ17" i="8"/>
  <c r="CH17" i="8"/>
  <c r="AS18" i="8"/>
  <c r="BN18" i="8"/>
  <c r="CM18" i="8"/>
  <c r="AW19" i="8"/>
  <c r="BR19" i="8"/>
  <c r="AL20" i="8"/>
  <c r="BR20" i="8"/>
  <c r="AP21" i="8"/>
  <c r="CO21" i="8"/>
  <c r="BH24" i="8"/>
  <c r="AO8" i="1"/>
  <c r="AO9" i="1"/>
  <c r="AO10" i="1"/>
  <c r="AO11" i="1"/>
  <c r="AO14" i="1"/>
  <c r="AO35" i="1"/>
  <c r="AO36" i="1"/>
  <c r="AO7" i="1"/>
  <c r="V8" i="1"/>
  <c r="V9" i="1"/>
  <c r="V10" i="1"/>
  <c r="V11" i="1"/>
  <c r="V14" i="1"/>
  <c r="V7" i="1"/>
  <c r="V35" i="1"/>
  <c r="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D37" i="1"/>
  <c r="N37" i="2"/>
  <c r="O37" i="2"/>
  <c r="X109" i="5" s="1"/>
  <c r="Z109" i="5" s="1"/>
  <c r="N38" i="2"/>
  <c r="O38" i="2"/>
  <c r="O44" i="2"/>
  <c r="AN44" i="1" l="1"/>
  <c r="AL44" i="1"/>
  <c r="AA109" i="5"/>
  <c r="AO37" i="1"/>
  <c r="V37" i="1"/>
  <c r="AP74" i="1"/>
  <c r="O59" i="1"/>
  <c r="AM54" i="1"/>
  <c r="AF41" i="1"/>
  <c r="AJ45" i="1"/>
  <c r="P92" i="2"/>
  <c r="U101" i="2" l="1"/>
  <c r="N45" i="2" l="1"/>
  <c r="X42" i="1"/>
  <c r="X43" i="1"/>
  <c r="X44" i="1"/>
  <c r="X45" i="1"/>
  <c r="X46" i="1"/>
  <c r="X47" i="1"/>
  <c r="X48" i="1"/>
  <c r="X49" i="1"/>
  <c r="X50" i="1"/>
  <c r="X41" i="1"/>
  <c r="O59" i="2" l="1"/>
  <c r="N59" i="2"/>
  <c r="X112" i="5"/>
  <c r="L4" i="5"/>
  <c r="X39" i="1"/>
  <c r="P39" i="1"/>
  <c r="P42" i="1"/>
  <c r="P43" i="1"/>
  <c r="P44" i="1"/>
  <c r="P45" i="1"/>
  <c r="P46" i="1"/>
  <c r="P47" i="1"/>
  <c r="P48" i="1"/>
  <c r="P49" i="1"/>
  <c r="P50" i="1"/>
  <c r="P41" i="1"/>
  <c r="AM78" i="1" l="1"/>
  <c r="AM90" i="1"/>
  <c r="O79" i="1"/>
  <c r="O75" i="1"/>
  <c r="AE39" i="8" l="1"/>
  <c r="AC39" i="8"/>
  <c r="AB39" i="8"/>
  <c r="AA39" i="8"/>
  <c r="Z39" i="8"/>
  <c r="Y39" i="8"/>
  <c r="Y91" i="8" s="1"/>
  <c r="X39" i="8"/>
  <c r="X91" i="8" s="1"/>
  <c r="W39" i="8"/>
  <c r="W91" i="8" s="1"/>
  <c r="V39" i="8"/>
  <c r="V91" i="8" s="1"/>
  <c r="U39" i="8"/>
  <c r="U91" i="8" s="1"/>
  <c r="T39" i="8"/>
  <c r="T91" i="8" s="1"/>
  <c r="S39" i="8"/>
  <c r="R39" i="8"/>
  <c r="R91" i="8" s="1"/>
  <c r="Q39" i="8"/>
  <c r="Q91" i="8" s="1"/>
  <c r="P39" i="8"/>
  <c r="O39" i="8"/>
  <c r="O91" i="8" s="1"/>
  <c r="N39" i="8"/>
  <c r="N91" i="8" s="1"/>
  <c r="M39" i="8"/>
  <c r="M91" i="8" s="1"/>
  <c r="K39" i="8"/>
  <c r="J39" i="8"/>
  <c r="I39" i="8"/>
  <c r="I91" i="8" s="1"/>
  <c r="H39" i="8"/>
  <c r="H91" i="8" s="1"/>
  <c r="G39" i="8"/>
  <c r="G91" i="8" s="1"/>
  <c r="F39" i="8"/>
  <c r="E39" i="8"/>
  <c r="D39" i="8"/>
  <c r="P91" i="8" l="1"/>
  <c r="CL39" i="8"/>
  <c r="CL37" i="8" s="1"/>
  <c r="CK39" i="8"/>
  <c r="BY39" i="8"/>
  <c r="BU39" i="8"/>
  <c r="CP39" i="8"/>
  <c r="CG39" i="8"/>
  <c r="CC39" i="8"/>
  <c r="BX39" i="8"/>
  <c r="BS39" i="8"/>
  <c r="BO39" i="8"/>
  <c r="BK39" i="8"/>
  <c r="BG39" i="8"/>
  <c r="BC39" i="8"/>
  <c r="AY39" i="8"/>
  <c r="AU39" i="8"/>
  <c r="AQ39" i="8"/>
  <c r="AM39" i="8"/>
  <c r="AI39" i="8"/>
  <c r="CO39" i="8"/>
  <c r="CJ39" i="8"/>
  <c r="CB39" i="8"/>
  <c r="BN39" i="8"/>
  <c r="BF39" i="8"/>
  <c r="AX39" i="8"/>
  <c r="AP39" i="8"/>
  <c r="AH39" i="8"/>
  <c r="BZ39" i="8"/>
  <c r="BT39" i="8"/>
  <c r="AZ39" i="8"/>
  <c r="AR39" i="8"/>
  <c r="CF39" i="8"/>
  <c r="BW39" i="8"/>
  <c r="BR39" i="8"/>
  <c r="BJ39" i="8"/>
  <c r="BB39" i="8"/>
  <c r="AT39" i="8"/>
  <c r="AL39" i="8"/>
  <c r="CM39" i="8"/>
  <c r="BL39" i="8"/>
  <c r="BH39" i="8"/>
  <c r="AV39" i="8"/>
  <c r="AJ39" i="8"/>
  <c r="AF39" i="8"/>
  <c r="CN39" i="8"/>
  <c r="CI39" i="8"/>
  <c r="CE39" i="8"/>
  <c r="CA39" i="8"/>
  <c r="BV39" i="8"/>
  <c r="BQ39" i="8"/>
  <c r="BM39" i="8"/>
  <c r="BI39" i="8"/>
  <c r="BE39" i="8"/>
  <c r="BA39" i="8"/>
  <c r="AW39" i="8"/>
  <c r="AS39" i="8"/>
  <c r="AO39" i="8"/>
  <c r="AK39" i="8"/>
  <c r="AG39" i="8"/>
  <c r="CD39" i="8"/>
  <c r="BP39" i="8"/>
  <c r="BD39" i="8"/>
  <c r="AN39" i="8"/>
  <c r="CH39" i="8"/>
  <c r="AM86" i="1"/>
  <c r="O88" i="1"/>
  <c r="O84" i="1"/>
  <c r="AM82" i="1"/>
  <c r="O83" i="1"/>
  <c r="AM74" i="1"/>
  <c r="O71" i="1"/>
  <c r="AM70" i="1"/>
  <c r="O72" i="1"/>
  <c r="AM66" i="1"/>
  <c r="O68" i="1"/>
  <c r="R84" i="8" l="1"/>
  <c r="S84" i="8"/>
  <c r="AC84" i="8"/>
  <c r="AE60" i="8"/>
  <c r="CK60" i="8" l="1"/>
  <c r="BU60" i="8"/>
  <c r="BU37" i="8" s="1"/>
  <c r="AE84" i="8"/>
  <c r="BY60" i="8"/>
  <c r="BY37" i="8" s="1"/>
  <c r="CM60" i="8"/>
  <c r="CH60" i="8"/>
  <c r="CD60" i="8"/>
  <c r="BZ60" i="8"/>
  <c r="BT60" i="8"/>
  <c r="BP60" i="8"/>
  <c r="BL60" i="8"/>
  <c r="BH60" i="8"/>
  <c r="BD60" i="8"/>
  <c r="AZ60" i="8"/>
  <c r="AV60" i="8"/>
  <c r="AR60" i="8"/>
  <c r="AN60" i="8"/>
  <c r="AJ60" i="8"/>
  <c r="CP60" i="8"/>
  <c r="CG60" i="8"/>
  <c r="CC60" i="8"/>
  <c r="BX60" i="8"/>
  <c r="BS60" i="8"/>
  <c r="BO60" i="8"/>
  <c r="BK60" i="8"/>
  <c r="BG60" i="8"/>
  <c r="BC60" i="8"/>
  <c r="AY60" i="8"/>
  <c r="AU60" i="8"/>
  <c r="AQ60" i="8"/>
  <c r="AM60" i="8"/>
  <c r="AI60" i="8"/>
  <c r="CO60" i="8"/>
  <c r="CJ60" i="8"/>
  <c r="CF60" i="8"/>
  <c r="CB60" i="8"/>
  <c r="BW60" i="8"/>
  <c r="BR60" i="8"/>
  <c r="BN60" i="8"/>
  <c r="BJ60" i="8"/>
  <c r="BF60" i="8"/>
  <c r="BB60" i="8"/>
  <c r="AX60" i="8"/>
  <c r="AT60" i="8"/>
  <c r="AP60" i="8"/>
  <c r="AL60" i="8"/>
  <c r="AH60" i="8"/>
  <c r="CN60" i="8"/>
  <c r="CI60" i="8"/>
  <c r="CE60" i="8"/>
  <c r="CA60" i="8"/>
  <c r="BV60" i="8"/>
  <c r="BQ60" i="8"/>
  <c r="BM60" i="8"/>
  <c r="BI60" i="8"/>
  <c r="BE60" i="8"/>
  <c r="BA60" i="8"/>
  <c r="AW60" i="8"/>
  <c r="AS60" i="8"/>
  <c r="AO60" i="8"/>
  <c r="AK60" i="8"/>
  <c r="AG60" i="8"/>
  <c r="O29" i="2"/>
  <c r="O4" i="2"/>
  <c r="O6" i="2"/>
  <c r="AT51" i="1"/>
  <c r="AJ44" i="1" l="1"/>
  <c r="AJ46" i="1"/>
  <c r="AJ47" i="1"/>
  <c r="AJ48" i="1"/>
  <c r="AJ49" i="1"/>
  <c r="AJ50" i="1"/>
  <c r="AJ41" i="1"/>
  <c r="O56" i="1" s="1"/>
  <c r="AJ42" i="1"/>
  <c r="AJ43" i="1"/>
  <c r="AF43" i="1"/>
  <c r="AF44" i="1"/>
  <c r="AF45" i="1"/>
  <c r="O60" i="1" s="1"/>
  <c r="AF46" i="1"/>
  <c r="AF47" i="1"/>
  <c r="AF48" i="1"/>
  <c r="AF49" i="1"/>
  <c r="AF50" i="1"/>
  <c r="AN45" i="1" l="1"/>
  <c r="N92" i="8" l="1"/>
  <c r="N83" i="8"/>
  <c r="O23" i="2" l="1"/>
  <c r="O8" i="2" l="1"/>
  <c r="O10" i="2"/>
  <c r="O13" i="2"/>
  <c r="O14" i="2"/>
  <c r="O17" i="2"/>
  <c r="O18" i="2"/>
  <c r="O19" i="2"/>
  <c r="O20" i="2"/>
  <c r="O25" i="2"/>
  <c r="O26" i="2"/>
  <c r="O27" i="2"/>
  <c r="O28" i="2"/>
  <c r="O30" i="2"/>
  <c r="O31" i="2"/>
  <c r="O32" i="2"/>
  <c r="O33" i="2"/>
  <c r="O35" i="2"/>
  <c r="X106" i="5"/>
  <c r="O40" i="2"/>
  <c r="O41" i="2"/>
  <c r="O42" i="2"/>
  <c r="O47" i="2"/>
  <c r="O48" i="2"/>
  <c r="O49" i="2"/>
  <c r="O50" i="2"/>
  <c r="O51" i="2"/>
  <c r="O52" i="2"/>
  <c r="O53" i="2"/>
  <c r="O54" i="2"/>
  <c r="O55" i="2"/>
  <c r="O57" i="2"/>
  <c r="O58" i="2"/>
  <c r="O60" i="2"/>
  <c r="O5" i="2"/>
  <c r="O7" i="2"/>
  <c r="J183" i="5" l="1"/>
  <c r="I183" i="5"/>
  <c r="H183" i="5"/>
  <c r="G183" i="5"/>
  <c r="F183" i="5"/>
  <c r="E183" i="5"/>
  <c r="D183" i="5"/>
  <c r="C183" i="5"/>
  <c r="B183" i="5"/>
  <c r="A183" i="5"/>
  <c r="J182" i="5"/>
  <c r="I182" i="5"/>
  <c r="H182" i="5"/>
  <c r="G182" i="5"/>
  <c r="F182" i="5"/>
  <c r="E182" i="5"/>
  <c r="D182" i="5"/>
  <c r="C182" i="5"/>
  <c r="B182" i="5"/>
  <c r="A182" i="5"/>
  <c r="J181" i="5"/>
  <c r="I181" i="5"/>
  <c r="H181" i="5"/>
  <c r="G181" i="5"/>
  <c r="F181" i="5"/>
  <c r="E181" i="5"/>
  <c r="D181" i="5"/>
  <c r="C181" i="5"/>
  <c r="B181" i="5"/>
  <c r="A181" i="5"/>
  <c r="J180" i="5"/>
  <c r="I180" i="5"/>
  <c r="H180" i="5"/>
  <c r="G180" i="5"/>
  <c r="F180" i="5"/>
  <c r="E180" i="5"/>
  <c r="D180" i="5"/>
  <c r="C180" i="5"/>
  <c r="B180" i="5"/>
  <c r="A180" i="5"/>
  <c r="J179" i="5"/>
  <c r="I179" i="5"/>
  <c r="H179" i="5"/>
  <c r="G179" i="5"/>
  <c r="F179" i="5"/>
  <c r="E179" i="5"/>
  <c r="D179" i="5"/>
  <c r="C179" i="5"/>
  <c r="B179" i="5"/>
  <c r="A179" i="5"/>
  <c r="J178" i="5"/>
  <c r="I178" i="5"/>
  <c r="H178" i="5"/>
  <c r="G178" i="5"/>
  <c r="F178" i="5"/>
  <c r="E178" i="5"/>
  <c r="D178" i="5"/>
  <c r="C178" i="5"/>
  <c r="B178" i="5"/>
  <c r="A178" i="5"/>
  <c r="J177" i="5"/>
  <c r="I177" i="5"/>
  <c r="H177" i="5"/>
  <c r="G177" i="5"/>
  <c r="F177" i="5"/>
  <c r="E177" i="5"/>
  <c r="D177" i="5"/>
  <c r="C177" i="5"/>
  <c r="B177" i="5"/>
  <c r="A177" i="5"/>
  <c r="J176" i="5"/>
  <c r="I176" i="5"/>
  <c r="H176" i="5"/>
  <c r="G176" i="5"/>
  <c r="F176" i="5"/>
  <c r="E176" i="5"/>
  <c r="D176" i="5"/>
  <c r="C176" i="5"/>
  <c r="B176" i="5"/>
  <c r="A176" i="5"/>
  <c r="J175" i="5"/>
  <c r="I175" i="5"/>
  <c r="H175" i="5"/>
  <c r="G175" i="5"/>
  <c r="F175" i="5"/>
  <c r="E175" i="5"/>
  <c r="D175" i="5"/>
  <c r="C175" i="5"/>
  <c r="B175" i="5"/>
  <c r="A175" i="5"/>
  <c r="J174" i="5"/>
  <c r="I174" i="5"/>
  <c r="H174" i="5"/>
  <c r="G174" i="5"/>
  <c r="F174" i="5"/>
  <c r="E174" i="5"/>
  <c r="D174" i="5"/>
  <c r="C174" i="5"/>
  <c r="B174" i="5"/>
  <c r="A174" i="5"/>
  <c r="J173" i="5"/>
  <c r="I173" i="5"/>
  <c r="H173" i="5"/>
  <c r="G173" i="5"/>
  <c r="F173" i="5"/>
  <c r="E173" i="5"/>
  <c r="D173" i="5"/>
  <c r="C173" i="5"/>
  <c r="B173" i="5"/>
  <c r="A173" i="5"/>
  <c r="J172" i="5"/>
  <c r="I172" i="5"/>
  <c r="H172" i="5"/>
  <c r="G172" i="5"/>
  <c r="F172" i="5"/>
  <c r="E172" i="5"/>
  <c r="D172" i="5"/>
  <c r="C172" i="5"/>
  <c r="B172" i="5"/>
  <c r="A172" i="5"/>
  <c r="J171" i="5"/>
  <c r="I171" i="5"/>
  <c r="H171" i="5"/>
  <c r="G171" i="5"/>
  <c r="F171" i="5"/>
  <c r="E171" i="5"/>
  <c r="D171" i="5"/>
  <c r="C171" i="5"/>
  <c r="B171" i="5"/>
  <c r="A171" i="5"/>
  <c r="J170" i="5"/>
  <c r="I170" i="5"/>
  <c r="H170" i="5"/>
  <c r="G170" i="5"/>
  <c r="F170" i="5"/>
  <c r="E170" i="5"/>
  <c r="D170" i="5"/>
  <c r="C170" i="5"/>
  <c r="B170" i="5"/>
  <c r="A170" i="5"/>
  <c r="J169" i="5"/>
  <c r="I169" i="5"/>
  <c r="H169" i="5"/>
  <c r="G169" i="5"/>
  <c r="F169" i="5"/>
  <c r="E169" i="5"/>
  <c r="D169" i="5"/>
  <c r="C169" i="5"/>
  <c r="B169" i="5"/>
  <c r="A169" i="5"/>
  <c r="J168" i="5"/>
  <c r="I168" i="5"/>
  <c r="H168" i="5"/>
  <c r="G168" i="5"/>
  <c r="F168" i="5"/>
  <c r="E168" i="5"/>
  <c r="D168" i="5"/>
  <c r="C168" i="5"/>
  <c r="B168" i="5"/>
  <c r="A168" i="5"/>
  <c r="J167" i="5"/>
  <c r="I167" i="5"/>
  <c r="H167" i="5"/>
  <c r="G167" i="5"/>
  <c r="F167" i="5"/>
  <c r="E167" i="5"/>
  <c r="D167" i="5"/>
  <c r="C167" i="5"/>
  <c r="B167" i="5"/>
  <c r="A167" i="5"/>
  <c r="J166" i="5"/>
  <c r="I166" i="5"/>
  <c r="H166" i="5"/>
  <c r="G166" i="5"/>
  <c r="F166" i="5"/>
  <c r="E166" i="5"/>
  <c r="D166" i="5"/>
  <c r="C166" i="5"/>
  <c r="B166" i="5"/>
  <c r="A166" i="5"/>
  <c r="J165" i="5"/>
  <c r="I165" i="5"/>
  <c r="H165" i="5"/>
  <c r="G165" i="5"/>
  <c r="F165" i="5"/>
  <c r="E165" i="5"/>
  <c r="D165" i="5"/>
  <c r="C165" i="5"/>
  <c r="B165" i="5"/>
  <c r="A165" i="5"/>
  <c r="J164" i="5"/>
  <c r="I164" i="5"/>
  <c r="H164" i="5"/>
  <c r="G164" i="5"/>
  <c r="F164" i="5"/>
  <c r="E164" i="5"/>
  <c r="D164" i="5"/>
  <c r="C164" i="5"/>
  <c r="B164" i="5"/>
  <c r="A164" i="5"/>
  <c r="J163" i="5"/>
  <c r="I163" i="5"/>
  <c r="H163" i="5"/>
  <c r="G163" i="5"/>
  <c r="F163" i="5"/>
  <c r="E163" i="5"/>
  <c r="D163" i="5"/>
  <c r="C163" i="5"/>
  <c r="B163" i="5"/>
  <c r="A163" i="5"/>
  <c r="J162" i="5"/>
  <c r="I162" i="5"/>
  <c r="H162" i="5"/>
  <c r="G162" i="5"/>
  <c r="F162" i="5"/>
  <c r="E162" i="5"/>
  <c r="D162" i="5"/>
  <c r="C162" i="5"/>
  <c r="B162" i="5"/>
  <c r="A162" i="5"/>
  <c r="J161" i="5"/>
  <c r="I161" i="5"/>
  <c r="H161" i="5"/>
  <c r="G161" i="5"/>
  <c r="F161" i="5"/>
  <c r="E161" i="5"/>
  <c r="D161" i="5"/>
  <c r="C161" i="5"/>
  <c r="B161" i="5"/>
  <c r="A161" i="5"/>
  <c r="J160" i="5"/>
  <c r="I160" i="5"/>
  <c r="H160" i="5"/>
  <c r="G160" i="5"/>
  <c r="F160" i="5"/>
  <c r="E160" i="5"/>
  <c r="D160" i="5"/>
  <c r="C160" i="5"/>
  <c r="B160" i="5"/>
  <c r="A160" i="5"/>
  <c r="J159" i="5"/>
  <c r="I159" i="5"/>
  <c r="H159" i="5"/>
  <c r="G159" i="5"/>
  <c r="F159" i="5"/>
  <c r="E159" i="5"/>
  <c r="D159" i="5"/>
  <c r="C159" i="5"/>
  <c r="B159" i="5"/>
  <c r="A159" i="5"/>
  <c r="J158" i="5"/>
  <c r="I158" i="5"/>
  <c r="H158" i="5"/>
  <c r="G158" i="5"/>
  <c r="F158" i="5"/>
  <c r="E158" i="5"/>
  <c r="D158" i="5"/>
  <c r="C158" i="5"/>
  <c r="B158" i="5"/>
  <c r="A158" i="5"/>
  <c r="J157" i="5"/>
  <c r="I157" i="5"/>
  <c r="H157" i="5"/>
  <c r="G157" i="5"/>
  <c r="F157" i="5"/>
  <c r="E157" i="5"/>
  <c r="D157" i="5"/>
  <c r="C157" i="5"/>
  <c r="B157" i="5"/>
  <c r="A157" i="5"/>
  <c r="J156" i="5"/>
  <c r="I156" i="5"/>
  <c r="H156" i="5"/>
  <c r="G156" i="5"/>
  <c r="F156" i="5"/>
  <c r="E156" i="5"/>
  <c r="D156" i="5"/>
  <c r="C156" i="5"/>
  <c r="B156" i="5"/>
  <c r="A156" i="5"/>
  <c r="J155" i="5"/>
  <c r="I155" i="5"/>
  <c r="H155" i="5"/>
  <c r="G155" i="5"/>
  <c r="F155" i="5"/>
  <c r="E155" i="5"/>
  <c r="D155" i="5"/>
  <c r="C155" i="5"/>
  <c r="B155" i="5"/>
  <c r="A155" i="5"/>
  <c r="J154" i="5"/>
  <c r="I154" i="5"/>
  <c r="H154" i="5"/>
  <c r="G154" i="5"/>
  <c r="F154" i="5"/>
  <c r="E154" i="5"/>
  <c r="D154" i="5"/>
  <c r="C154" i="5"/>
  <c r="B154" i="5"/>
  <c r="A154" i="5"/>
  <c r="J153" i="5"/>
  <c r="I153" i="5"/>
  <c r="H153" i="5"/>
  <c r="G153" i="5"/>
  <c r="F153" i="5"/>
  <c r="E153" i="5"/>
  <c r="D153" i="5"/>
  <c r="C153" i="5"/>
  <c r="B153" i="5"/>
  <c r="A153" i="5"/>
  <c r="J152" i="5"/>
  <c r="I152" i="5"/>
  <c r="H152" i="5"/>
  <c r="G152" i="5"/>
  <c r="F152" i="5"/>
  <c r="E152" i="5"/>
  <c r="D152" i="5"/>
  <c r="C152" i="5"/>
  <c r="B152" i="5"/>
  <c r="A152" i="5"/>
  <c r="J151" i="5"/>
  <c r="I151" i="5"/>
  <c r="H151" i="5"/>
  <c r="G151" i="5"/>
  <c r="F151" i="5"/>
  <c r="E151" i="5"/>
  <c r="D151" i="5"/>
  <c r="C151" i="5"/>
  <c r="B151" i="5"/>
  <c r="A151" i="5"/>
  <c r="J150" i="5"/>
  <c r="I150" i="5"/>
  <c r="H150" i="5"/>
  <c r="G150" i="5"/>
  <c r="F150" i="5"/>
  <c r="E150" i="5"/>
  <c r="D150" i="5"/>
  <c r="C150" i="5"/>
  <c r="B150" i="5"/>
  <c r="A150" i="5"/>
  <c r="J149" i="5"/>
  <c r="I149" i="5"/>
  <c r="H149" i="5"/>
  <c r="G149" i="5"/>
  <c r="F149" i="5"/>
  <c r="E149" i="5"/>
  <c r="D149" i="5"/>
  <c r="C149" i="5"/>
  <c r="B149" i="5"/>
  <c r="A149" i="5"/>
  <c r="J148" i="5"/>
  <c r="I148" i="5"/>
  <c r="H148" i="5"/>
  <c r="G148" i="5"/>
  <c r="F148" i="5"/>
  <c r="E148" i="5"/>
  <c r="D148" i="5"/>
  <c r="C148" i="5"/>
  <c r="B148" i="5"/>
  <c r="A148" i="5"/>
  <c r="J147" i="5"/>
  <c r="I147" i="5"/>
  <c r="H147" i="5"/>
  <c r="G147" i="5"/>
  <c r="F147" i="5"/>
  <c r="E147" i="5"/>
  <c r="D147" i="5"/>
  <c r="C147" i="5"/>
  <c r="B147" i="5"/>
  <c r="A147" i="5"/>
  <c r="J146" i="5"/>
  <c r="I146" i="5"/>
  <c r="H146" i="5"/>
  <c r="G146" i="5"/>
  <c r="F146" i="5"/>
  <c r="E146" i="5"/>
  <c r="D146" i="5"/>
  <c r="C146" i="5"/>
  <c r="B146" i="5"/>
  <c r="A146" i="5"/>
  <c r="J145" i="5"/>
  <c r="I145" i="5"/>
  <c r="H145" i="5"/>
  <c r="G145" i="5"/>
  <c r="F145" i="5"/>
  <c r="E145" i="5"/>
  <c r="D145" i="5"/>
  <c r="C145" i="5"/>
  <c r="B145" i="5"/>
  <c r="A145" i="5"/>
  <c r="J144" i="5"/>
  <c r="I144" i="5"/>
  <c r="H144" i="5"/>
  <c r="G144" i="5"/>
  <c r="F144" i="5"/>
  <c r="E144" i="5"/>
  <c r="D144" i="5"/>
  <c r="C144" i="5"/>
  <c r="B144" i="5"/>
  <c r="A144" i="5"/>
  <c r="J143" i="5"/>
  <c r="I143" i="5"/>
  <c r="H143" i="5"/>
  <c r="G143" i="5"/>
  <c r="F143" i="5"/>
  <c r="E143" i="5"/>
  <c r="D143" i="5"/>
  <c r="C143" i="5"/>
  <c r="B143" i="5"/>
  <c r="A143" i="5"/>
  <c r="J142" i="5"/>
  <c r="I142" i="5"/>
  <c r="H142" i="5"/>
  <c r="G142" i="5"/>
  <c r="F142" i="5"/>
  <c r="E142" i="5"/>
  <c r="D142" i="5"/>
  <c r="C142" i="5"/>
  <c r="B142" i="5"/>
  <c r="A142" i="5"/>
  <c r="J141" i="5"/>
  <c r="I141" i="5"/>
  <c r="H141" i="5"/>
  <c r="G141" i="5"/>
  <c r="F141" i="5"/>
  <c r="E141" i="5"/>
  <c r="D141" i="5"/>
  <c r="C141" i="5"/>
  <c r="B141" i="5"/>
  <c r="A141" i="5"/>
  <c r="J140" i="5"/>
  <c r="I140" i="5"/>
  <c r="H140" i="5"/>
  <c r="G140" i="5"/>
  <c r="F140" i="5"/>
  <c r="E140" i="5"/>
  <c r="D140" i="5"/>
  <c r="C140" i="5"/>
  <c r="B140" i="5"/>
  <c r="A140" i="5"/>
  <c r="J139" i="5"/>
  <c r="I139" i="5"/>
  <c r="H139" i="5"/>
  <c r="G139" i="5"/>
  <c r="F139" i="5"/>
  <c r="E139" i="5"/>
  <c r="D139" i="5"/>
  <c r="C139" i="5"/>
  <c r="B139" i="5"/>
  <c r="A139" i="5"/>
  <c r="J138" i="5"/>
  <c r="I138" i="5"/>
  <c r="H138" i="5"/>
  <c r="G138" i="5"/>
  <c r="F138" i="5"/>
  <c r="E138" i="5"/>
  <c r="D138" i="5"/>
  <c r="C138" i="5"/>
  <c r="B138" i="5"/>
  <c r="A138" i="5"/>
  <c r="J137" i="5"/>
  <c r="I137" i="5"/>
  <c r="H137" i="5"/>
  <c r="G137" i="5"/>
  <c r="F137" i="5"/>
  <c r="E137" i="5"/>
  <c r="D137" i="5"/>
  <c r="C137" i="5"/>
  <c r="B137" i="5"/>
  <c r="A137" i="5"/>
  <c r="J136" i="5"/>
  <c r="I136" i="5"/>
  <c r="H136" i="5"/>
  <c r="G136" i="5"/>
  <c r="F136" i="5"/>
  <c r="E136" i="5"/>
  <c r="D136" i="5"/>
  <c r="C136" i="5"/>
  <c r="B136" i="5"/>
  <c r="A136" i="5"/>
  <c r="J135" i="5"/>
  <c r="I135" i="5"/>
  <c r="H135" i="5"/>
  <c r="G135" i="5"/>
  <c r="F135" i="5"/>
  <c r="E135" i="5"/>
  <c r="D135" i="5"/>
  <c r="C135" i="5"/>
  <c r="B135" i="5"/>
  <c r="A135" i="5"/>
  <c r="J134" i="5"/>
  <c r="I134" i="5"/>
  <c r="H134" i="5"/>
  <c r="G134" i="5"/>
  <c r="F134" i="5"/>
  <c r="E134" i="5"/>
  <c r="D134" i="5"/>
  <c r="C134" i="5"/>
  <c r="B134" i="5"/>
  <c r="A134" i="5"/>
  <c r="J133" i="5"/>
  <c r="I133" i="5"/>
  <c r="H133" i="5"/>
  <c r="G133" i="5"/>
  <c r="F133" i="5"/>
  <c r="E133" i="5"/>
  <c r="D133" i="5"/>
  <c r="C133" i="5"/>
  <c r="B133" i="5"/>
  <c r="A133" i="5"/>
  <c r="J132" i="5"/>
  <c r="I132" i="5"/>
  <c r="H132" i="5"/>
  <c r="G132" i="5"/>
  <c r="F132" i="5"/>
  <c r="E132" i="5"/>
  <c r="D132" i="5"/>
  <c r="C132" i="5"/>
  <c r="B132" i="5"/>
  <c r="A132" i="5"/>
  <c r="J131" i="5"/>
  <c r="I131" i="5"/>
  <c r="H131" i="5"/>
  <c r="G131" i="5"/>
  <c r="F131" i="5"/>
  <c r="E131" i="5"/>
  <c r="D131" i="5"/>
  <c r="C131" i="5"/>
  <c r="B131" i="5"/>
  <c r="A131" i="5"/>
  <c r="J130" i="5"/>
  <c r="I130" i="5"/>
  <c r="H130" i="5"/>
  <c r="G130" i="5"/>
  <c r="F130" i="5"/>
  <c r="E130" i="5"/>
  <c r="D130" i="5"/>
  <c r="C130" i="5"/>
  <c r="B130" i="5"/>
  <c r="A130" i="5"/>
  <c r="J126" i="5"/>
  <c r="I126" i="5"/>
  <c r="H126" i="5"/>
  <c r="G126" i="5"/>
  <c r="F126" i="5"/>
  <c r="E126" i="5"/>
  <c r="D126" i="5"/>
  <c r="C126" i="5"/>
  <c r="B126" i="5"/>
  <c r="A126" i="5"/>
  <c r="J125" i="5"/>
  <c r="I125" i="5"/>
  <c r="H125" i="5"/>
  <c r="G125" i="5"/>
  <c r="F125" i="5"/>
  <c r="E125" i="5"/>
  <c r="D125" i="5"/>
  <c r="C125" i="5"/>
  <c r="B125" i="5"/>
  <c r="A125" i="5"/>
  <c r="J124" i="5"/>
  <c r="I124" i="5"/>
  <c r="H124" i="5"/>
  <c r="G124" i="5"/>
  <c r="F124" i="5"/>
  <c r="E124" i="5"/>
  <c r="D124" i="5"/>
  <c r="C124" i="5"/>
  <c r="B124" i="5"/>
  <c r="A124" i="5"/>
  <c r="J123" i="5"/>
  <c r="I123" i="5"/>
  <c r="H123" i="5"/>
  <c r="G123" i="5"/>
  <c r="F123" i="5"/>
  <c r="E123" i="5"/>
  <c r="D123" i="5"/>
  <c r="C123" i="5"/>
  <c r="B123" i="5"/>
  <c r="A123" i="5"/>
  <c r="J122" i="5"/>
  <c r="I122" i="5"/>
  <c r="H122" i="5"/>
  <c r="G122" i="5"/>
  <c r="F122" i="5"/>
  <c r="E122" i="5"/>
  <c r="D122" i="5"/>
  <c r="C122" i="5"/>
  <c r="B122" i="5"/>
  <c r="A122" i="5"/>
  <c r="J121" i="5"/>
  <c r="I121" i="5"/>
  <c r="H121" i="5"/>
  <c r="G121" i="5"/>
  <c r="F121" i="5"/>
  <c r="E121" i="5"/>
  <c r="D121" i="5"/>
  <c r="C121" i="5"/>
  <c r="B121" i="5"/>
  <c r="A121" i="5"/>
  <c r="J120" i="5"/>
  <c r="I120" i="5"/>
  <c r="H120" i="5"/>
  <c r="G120" i="5"/>
  <c r="F120" i="5"/>
  <c r="E120" i="5"/>
  <c r="D120" i="5"/>
  <c r="C120" i="5"/>
  <c r="B120" i="5"/>
  <c r="A120" i="5"/>
  <c r="J119" i="5"/>
  <c r="I119" i="5"/>
  <c r="H119" i="5"/>
  <c r="G119" i="5"/>
  <c r="F119" i="5"/>
  <c r="E119" i="5"/>
  <c r="D119" i="5"/>
  <c r="C119" i="5"/>
  <c r="B119" i="5"/>
  <c r="A119" i="5"/>
  <c r="J118" i="5"/>
  <c r="I118" i="5"/>
  <c r="H118" i="5"/>
  <c r="G118" i="5"/>
  <c r="F118" i="5"/>
  <c r="E118" i="5"/>
  <c r="D118" i="5"/>
  <c r="C118" i="5"/>
  <c r="B118" i="5"/>
  <c r="A118" i="5"/>
  <c r="J114" i="5"/>
  <c r="I114" i="5"/>
  <c r="H114" i="5"/>
  <c r="G114" i="5"/>
  <c r="F114" i="5"/>
  <c r="E114" i="5"/>
  <c r="D114" i="5"/>
  <c r="C114" i="5"/>
  <c r="B114" i="5"/>
  <c r="A114" i="5"/>
  <c r="J113" i="5"/>
  <c r="I113" i="5"/>
  <c r="H113" i="5"/>
  <c r="G113" i="5"/>
  <c r="F113" i="5"/>
  <c r="E113" i="5"/>
  <c r="D113" i="5"/>
  <c r="C113" i="5"/>
  <c r="B113" i="5"/>
  <c r="A113" i="5"/>
  <c r="J112" i="5"/>
  <c r="I112" i="5"/>
  <c r="H112" i="5"/>
  <c r="G112" i="5"/>
  <c r="F112" i="5"/>
  <c r="E112" i="5"/>
  <c r="D112" i="5"/>
  <c r="C112" i="5"/>
  <c r="B112" i="5"/>
  <c r="A112" i="5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J106" i="5"/>
  <c r="I106" i="5"/>
  <c r="H106" i="5"/>
  <c r="G106" i="5"/>
  <c r="F106" i="5"/>
  <c r="E106" i="5"/>
  <c r="D106" i="5"/>
  <c r="C106" i="5"/>
  <c r="B106" i="5"/>
  <c r="A106" i="5"/>
  <c r="J105" i="5"/>
  <c r="I105" i="5"/>
  <c r="H105" i="5"/>
  <c r="G105" i="5"/>
  <c r="F105" i="5"/>
  <c r="E105" i="5"/>
  <c r="D105" i="5"/>
  <c r="C105" i="5"/>
  <c r="B105" i="5"/>
  <c r="A105" i="5"/>
  <c r="J104" i="5"/>
  <c r="I104" i="5"/>
  <c r="H104" i="5"/>
  <c r="G104" i="5"/>
  <c r="F104" i="5"/>
  <c r="E104" i="5"/>
  <c r="D104" i="5"/>
  <c r="C104" i="5"/>
  <c r="B104" i="5"/>
  <c r="A104" i="5"/>
  <c r="J103" i="5"/>
  <c r="I103" i="5"/>
  <c r="H103" i="5"/>
  <c r="G103" i="5"/>
  <c r="F103" i="5"/>
  <c r="E103" i="5"/>
  <c r="D103" i="5"/>
  <c r="C103" i="5"/>
  <c r="B103" i="5"/>
  <c r="A103" i="5"/>
  <c r="J102" i="5"/>
  <c r="I102" i="5"/>
  <c r="H102" i="5"/>
  <c r="G102" i="5"/>
  <c r="F102" i="5"/>
  <c r="E102" i="5"/>
  <c r="D102" i="5"/>
  <c r="C102" i="5"/>
  <c r="B102" i="5"/>
  <c r="A102" i="5"/>
  <c r="J101" i="5"/>
  <c r="I101" i="5"/>
  <c r="H101" i="5"/>
  <c r="G101" i="5"/>
  <c r="F101" i="5"/>
  <c r="E101" i="5"/>
  <c r="D101" i="5"/>
  <c r="C101" i="5"/>
  <c r="B101" i="5"/>
  <c r="A101" i="5"/>
  <c r="J100" i="5"/>
  <c r="I100" i="5"/>
  <c r="H100" i="5"/>
  <c r="G100" i="5"/>
  <c r="F100" i="5"/>
  <c r="E100" i="5"/>
  <c r="D100" i="5"/>
  <c r="C100" i="5"/>
  <c r="B100" i="5"/>
  <c r="A100" i="5"/>
  <c r="J99" i="5"/>
  <c r="I99" i="5"/>
  <c r="H99" i="5"/>
  <c r="G99" i="5"/>
  <c r="F99" i="5"/>
  <c r="E99" i="5"/>
  <c r="D99" i="5"/>
  <c r="C99" i="5"/>
  <c r="B99" i="5"/>
  <c r="A99" i="5"/>
  <c r="J98" i="5"/>
  <c r="I98" i="5"/>
  <c r="H98" i="5"/>
  <c r="G98" i="5"/>
  <c r="F98" i="5"/>
  <c r="E98" i="5"/>
  <c r="D98" i="5"/>
  <c r="C98" i="5"/>
  <c r="B98" i="5"/>
  <c r="A98" i="5"/>
  <c r="J97" i="5"/>
  <c r="I97" i="5"/>
  <c r="H97" i="5"/>
  <c r="G97" i="5"/>
  <c r="F97" i="5"/>
  <c r="E97" i="5"/>
  <c r="D97" i="5"/>
  <c r="C97" i="5"/>
  <c r="B97" i="5"/>
  <c r="A97" i="5"/>
  <c r="J96" i="5"/>
  <c r="I96" i="5"/>
  <c r="H96" i="5"/>
  <c r="G96" i="5"/>
  <c r="F96" i="5"/>
  <c r="E96" i="5"/>
  <c r="D96" i="5"/>
  <c r="C96" i="5"/>
  <c r="B96" i="5"/>
  <c r="A96" i="5"/>
  <c r="J95" i="5"/>
  <c r="I95" i="5"/>
  <c r="H95" i="5"/>
  <c r="G95" i="5"/>
  <c r="F95" i="5"/>
  <c r="E95" i="5"/>
  <c r="D95" i="5"/>
  <c r="C95" i="5"/>
  <c r="B95" i="5"/>
  <c r="A95" i="5"/>
  <c r="J94" i="5"/>
  <c r="I94" i="5"/>
  <c r="H94" i="5"/>
  <c r="G94" i="5"/>
  <c r="F94" i="5"/>
  <c r="E94" i="5"/>
  <c r="D94" i="5"/>
  <c r="C94" i="5"/>
  <c r="B94" i="5"/>
  <c r="A94" i="5"/>
  <c r="J93" i="5"/>
  <c r="I93" i="5"/>
  <c r="H93" i="5"/>
  <c r="G93" i="5"/>
  <c r="F93" i="5"/>
  <c r="E93" i="5"/>
  <c r="D93" i="5"/>
  <c r="C93" i="5"/>
  <c r="B93" i="5"/>
  <c r="A93" i="5"/>
  <c r="J92" i="5"/>
  <c r="I92" i="5"/>
  <c r="H92" i="5"/>
  <c r="G92" i="5"/>
  <c r="F92" i="5"/>
  <c r="E92" i="5"/>
  <c r="D92" i="5"/>
  <c r="C92" i="5"/>
  <c r="B92" i="5"/>
  <c r="A92" i="5"/>
  <c r="J91" i="5"/>
  <c r="I91" i="5"/>
  <c r="H91" i="5"/>
  <c r="G91" i="5"/>
  <c r="F91" i="5"/>
  <c r="E91" i="5"/>
  <c r="D91" i="5"/>
  <c r="C91" i="5"/>
  <c r="B91" i="5"/>
  <c r="A91" i="5"/>
  <c r="J90" i="5"/>
  <c r="I90" i="5"/>
  <c r="H90" i="5"/>
  <c r="G90" i="5"/>
  <c r="F90" i="5"/>
  <c r="E90" i="5"/>
  <c r="D90" i="5"/>
  <c r="C90" i="5"/>
  <c r="B90" i="5"/>
  <c r="A90" i="5"/>
  <c r="J89" i="5"/>
  <c r="I89" i="5"/>
  <c r="H89" i="5"/>
  <c r="G89" i="5"/>
  <c r="F89" i="5"/>
  <c r="E89" i="5"/>
  <c r="D89" i="5"/>
  <c r="C89" i="5"/>
  <c r="B89" i="5"/>
  <c r="A89" i="5"/>
  <c r="J88" i="5"/>
  <c r="I88" i="5"/>
  <c r="H88" i="5"/>
  <c r="G88" i="5"/>
  <c r="F88" i="5"/>
  <c r="E88" i="5"/>
  <c r="D88" i="5"/>
  <c r="C88" i="5"/>
  <c r="B88" i="5"/>
  <c r="A88" i="5"/>
  <c r="J87" i="5"/>
  <c r="I87" i="5"/>
  <c r="H87" i="5"/>
  <c r="G87" i="5"/>
  <c r="F87" i="5"/>
  <c r="E87" i="5"/>
  <c r="D87" i="5"/>
  <c r="C87" i="5"/>
  <c r="B87" i="5"/>
  <c r="A87" i="5"/>
  <c r="J86" i="5"/>
  <c r="I86" i="5"/>
  <c r="H86" i="5"/>
  <c r="G86" i="5"/>
  <c r="F86" i="5"/>
  <c r="E86" i="5"/>
  <c r="D86" i="5"/>
  <c r="C86" i="5"/>
  <c r="B86" i="5"/>
  <c r="A86" i="5"/>
  <c r="J85" i="5"/>
  <c r="I85" i="5"/>
  <c r="H85" i="5"/>
  <c r="G85" i="5"/>
  <c r="F85" i="5"/>
  <c r="E85" i="5"/>
  <c r="D85" i="5"/>
  <c r="C85" i="5"/>
  <c r="B85" i="5"/>
  <c r="A85" i="5"/>
  <c r="J84" i="5"/>
  <c r="I84" i="5"/>
  <c r="H84" i="5"/>
  <c r="G84" i="5"/>
  <c r="F84" i="5"/>
  <c r="E84" i="5"/>
  <c r="D84" i="5"/>
  <c r="C84" i="5"/>
  <c r="B84" i="5"/>
  <c r="A84" i="5"/>
  <c r="J83" i="5"/>
  <c r="I83" i="5"/>
  <c r="H83" i="5"/>
  <c r="G83" i="5"/>
  <c r="F83" i="5"/>
  <c r="E83" i="5"/>
  <c r="D83" i="5"/>
  <c r="C83" i="5"/>
  <c r="B83" i="5"/>
  <c r="A83" i="5"/>
  <c r="J82" i="5"/>
  <c r="I82" i="5"/>
  <c r="H82" i="5"/>
  <c r="G82" i="5"/>
  <c r="F82" i="5"/>
  <c r="E82" i="5"/>
  <c r="D82" i="5"/>
  <c r="C82" i="5"/>
  <c r="B82" i="5"/>
  <c r="A82" i="5"/>
  <c r="J81" i="5"/>
  <c r="I81" i="5"/>
  <c r="H81" i="5"/>
  <c r="G81" i="5"/>
  <c r="F81" i="5"/>
  <c r="E81" i="5"/>
  <c r="D81" i="5"/>
  <c r="C81" i="5"/>
  <c r="B81" i="5"/>
  <c r="A81" i="5"/>
  <c r="J80" i="5"/>
  <c r="I80" i="5"/>
  <c r="H80" i="5"/>
  <c r="G80" i="5"/>
  <c r="F80" i="5"/>
  <c r="E80" i="5"/>
  <c r="D80" i="5"/>
  <c r="C80" i="5"/>
  <c r="B80" i="5"/>
  <c r="A80" i="5"/>
  <c r="J79" i="5"/>
  <c r="I79" i="5"/>
  <c r="H79" i="5"/>
  <c r="G79" i="5"/>
  <c r="F79" i="5"/>
  <c r="E79" i="5"/>
  <c r="D79" i="5"/>
  <c r="C79" i="5"/>
  <c r="B79" i="5"/>
  <c r="A79" i="5"/>
  <c r="J78" i="5"/>
  <c r="I78" i="5"/>
  <c r="H78" i="5"/>
  <c r="G78" i="5"/>
  <c r="F78" i="5"/>
  <c r="E78" i="5"/>
  <c r="D78" i="5"/>
  <c r="C78" i="5"/>
  <c r="B78" i="5"/>
  <c r="A78" i="5"/>
  <c r="J77" i="5"/>
  <c r="I77" i="5"/>
  <c r="H77" i="5"/>
  <c r="G77" i="5"/>
  <c r="F77" i="5"/>
  <c r="E77" i="5"/>
  <c r="D77" i="5"/>
  <c r="C77" i="5"/>
  <c r="B77" i="5"/>
  <c r="A77" i="5"/>
  <c r="J76" i="5"/>
  <c r="I76" i="5"/>
  <c r="H76" i="5"/>
  <c r="G76" i="5"/>
  <c r="F76" i="5"/>
  <c r="E76" i="5"/>
  <c r="D76" i="5"/>
  <c r="C76" i="5"/>
  <c r="B76" i="5"/>
  <c r="A76" i="5"/>
  <c r="J75" i="5"/>
  <c r="I75" i="5"/>
  <c r="H75" i="5"/>
  <c r="G75" i="5"/>
  <c r="F75" i="5"/>
  <c r="E75" i="5"/>
  <c r="D75" i="5"/>
  <c r="C75" i="5"/>
  <c r="B75" i="5"/>
  <c r="A75" i="5"/>
  <c r="J74" i="5"/>
  <c r="I74" i="5"/>
  <c r="H74" i="5"/>
  <c r="G74" i="5"/>
  <c r="F74" i="5"/>
  <c r="E74" i="5"/>
  <c r="D74" i="5"/>
  <c r="C74" i="5"/>
  <c r="B74" i="5"/>
  <c r="A74" i="5"/>
  <c r="J73" i="5"/>
  <c r="I73" i="5"/>
  <c r="H73" i="5"/>
  <c r="G73" i="5"/>
  <c r="F73" i="5"/>
  <c r="E73" i="5"/>
  <c r="D73" i="5"/>
  <c r="C73" i="5"/>
  <c r="B73" i="5"/>
  <c r="A73" i="5"/>
  <c r="J72" i="5"/>
  <c r="I72" i="5"/>
  <c r="H72" i="5"/>
  <c r="G72" i="5"/>
  <c r="F72" i="5"/>
  <c r="E72" i="5"/>
  <c r="D72" i="5"/>
  <c r="C72" i="5"/>
  <c r="B72" i="5"/>
  <c r="A72" i="5"/>
  <c r="J71" i="5"/>
  <c r="I71" i="5"/>
  <c r="H71" i="5"/>
  <c r="G71" i="5"/>
  <c r="F71" i="5"/>
  <c r="E71" i="5"/>
  <c r="D71" i="5"/>
  <c r="C71" i="5"/>
  <c r="B71" i="5"/>
  <c r="A71" i="5"/>
  <c r="J70" i="5"/>
  <c r="I70" i="5"/>
  <c r="H70" i="5"/>
  <c r="G70" i="5"/>
  <c r="F70" i="5"/>
  <c r="E70" i="5"/>
  <c r="D70" i="5"/>
  <c r="C70" i="5"/>
  <c r="B70" i="5"/>
  <c r="A70" i="5"/>
  <c r="J69" i="5"/>
  <c r="I69" i="5"/>
  <c r="H69" i="5"/>
  <c r="G69" i="5"/>
  <c r="F69" i="5"/>
  <c r="E69" i="5"/>
  <c r="D69" i="5"/>
  <c r="C69" i="5"/>
  <c r="B69" i="5"/>
  <c r="A69" i="5"/>
  <c r="J68" i="5"/>
  <c r="I68" i="5"/>
  <c r="H68" i="5"/>
  <c r="G68" i="5"/>
  <c r="F68" i="5"/>
  <c r="E68" i="5"/>
  <c r="D68" i="5"/>
  <c r="C68" i="5"/>
  <c r="B68" i="5"/>
  <c r="A68" i="5"/>
  <c r="J67" i="5"/>
  <c r="I67" i="5"/>
  <c r="H67" i="5"/>
  <c r="G67" i="5"/>
  <c r="F67" i="5"/>
  <c r="E67" i="5"/>
  <c r="D67" i="5"/>
  <c r="C67" i="5"/>
  <c r="B67" i="5"/>
  <c r="A67" i="5"/>
  <c r="J66" i="5"/>
  <c r="I66" i="5"/>
  <c r="H66" i="5"/>
  <c r="G66" i="5"/>
  <c r="F66" i="5"/>
  <c r="E66" i="5"/>
  <c r="D66" i="5"/>
  <c r="C66" i="5"/>
  <c r="B66" i="5"/>
  <c r="A66" i="5"/>
  <c r="J65" i="5"/>
  <c r="I65" i="5"/>
  <c r="H65" i="5"/>
  <c r="G65" i="5"/>
  <c r="F65" i="5"/>
  <c r="E65" i="5"/>
  <c r="D65" i="5"/>
  <c r="C65" i="5"/>
  <c r="B65" i="5"/>
  <c r="A65" i="5"/>
  <c r="J64" i="5"/>
  <c r="I64" i="5"/>
  <c r="H64" i="5"/>
  <c r="G64" i="5"/>
  <c r="F64" i="5"/>
  <c r="E64" i="5"/>
  <c r="D64" i="5"/>
  <c r="C64" i="5"/>
  <c r="B64" i="5"/>
  <c r="A64" i="5"/>
  <c r="J63" i="5"/>
  <c r="I63" i="5"/>
  <c r="H63" i="5"/>
  <c r="G63" i="5"/>
  <c r="F63" i="5"/>
  <c r="E63" i="5"/>
  <c r="D63" i="5"/>
  <c r="C63" i="5"/>
  <c r="B63" i="5"/>
  <c r="A63" i="5"/>
  <c r="J62" i="5"/>
  <c r="I62" i="5"/>
  <c r="H62" i="5"/>
  <c r="G62" i="5"/>
  <c r="F62" i="5"/>
  <c r="E62" i="5"/>
  <c r="D62" i="5"/>
  <c r="C62" i="5"/>
  <c r="B62" i="5"/>
  <c r="A62" i="5"/>
  <c r="J61" i="5"/>
  <c r="I61" i="5"/>
  <c r="H61" i="5"/>
  <c r="G61" i="5"/>
  <c r="F61" i="5"/>
  <c r="E61" i="5"/>
  <c r="D61" i="5"/>
  <c r="C61" i="5"/>
  <c r="B61" i="5"/>
  <c r="A61" i="5"/>
  <c r="J60" i="5"/>
  <c r="I60" i="5"/>
  <c r="H60" i="5"/>
  <c r="G60" i="5"/>
  <c r="F60" i="5"/>
  <c r="E60" i="5"/>
  <c r="D60" i="5"/>
  <c r="C60" i="5"/>
  <c r="B60" i="5"/>
  <c r="A60" i="5"/>
  <c r="J59" i="5"/>
  <c r="I59" i="5"/>
  <c r="H59" i="5"/>
  <c r="G59" i="5"/>
  <c r="F59" i="5"/>
  <c r="E59" i="5"/>
  <c r="D59" i="5"/>
  <c r="C59" i="5"/>
  <c r="B59" i="5"/>
  <c r="A59" i="5"/>
  <c r="J58" i="5"/>
  <c r="I58" i="5"/>
  <c r="H58" i="5"/>
  <c r="G58" i="5"/>
  <c r="F58" i="5"/>
  <c r="E58" i="5"/>
  <c r="D58" i="5"/>
  <c r="C58" i="5"/>
  <c r="B58" i="5"/>
  <c r="A58" i="5"/>
  <c r="J57" i="5"/>
  <c r="I57" i="5"/>
  <c r="H57" i="5"/>
  <c r="G57" i="5"/>
  <c r="F57" i="5"/>
  <c r="E57" i="5"/>
  <c r="D57" i="5"/>
  <c r="C57" i="5"/>
  <c r="B57" i="5"/>
  <c r="A57" i="5"/>
  <c r="J56" i="5"/>
  <c r="I56" i="5"/>
  <c r="H56" i="5"/>
  <c r="G56" i="5"/>
  <c r="F56" i="5"/>
  <c r="E56" i="5"/>
  <c r="D56" i="5"/>
  <c r="C56" i="5"/>
  <c r="B56" i="5"/>
  <c r="A56" i="5"/>
  <c r="J55" i="5"/>
  <c r="I55" i="5"/>
  <c r="H55" i="5"/>
  <c r="G55" i="5"/>
  <c r="F55" i="5"/>
  <c r="E55" i="5"/>
  <c r="D55" i="5"/>
  <c r="C55" i="5"/>
  <c r="B55" i="5"/>
  <c r="A55" i="5"/>
  <c r="J54" i="5"/>
  <c r="I54" i="5"/>
  <c r="H54" i="5"/>
  <c r="G54" i="5"/>
  <c r="F54" i="5"/>
  <c r="E54" i="5"/>
  <c r="D54" i="5"/>
  <c r="C54" i="5"/>
  <c r="B54" i="5"/>
  <c r="A54" i="5"/>
  <c r="J53" i="5"/>
  <c r="I53" i="5"/>
  <c r="H53" i="5"/>
  <c r="G53" i="5"/>
  <c r="F53" i="5"/>
  <c r="E53" i="5"/>
  <c r="D53" i="5"/>
  <c r="C53" i="5"/>
  <c r="B53" i="5"/>
  <c r="A53" i="5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I83" i="8"/>
  <c r="Q87" i="8"/>
  <c r="T81" i="8"/>
  <c r="W81" i="8"/>
  <c r="X87" i="8"/>
  <c r="L69" i="2"/>
  <c r="N32" i="2"/>
  <c r="AF42" i="1"/>
  <c r="O64" i="1" s="1"/>
  <c r="Z81" i="8" l="1"/>
  <c r="G88" i="8"/>
  <c r="X83" i="8"/>
  <c r="Y83" i="8"/>
  <c r="AB91" i="8"/>
  <c r="F81" i="8"/>
  <c r="Q81" i="8"/>
  <c r="H85" i="8"/>
  <c r="S86" i="8"/>
  <c r="M89" i="8"/>
  <c r="G83" i="8"/>
  <c r="F89" i="8"/>
  <c r="AE88" i="8"/>
  <c r="I89" i="8"/>
  <c r="AA89" i="8"/>
  <c r="Y89" i="8"/>
  <c r="S92" i="8"/>
  <c r="S91" i="8"/>
  <c r="S82" i="8"/>
  <c r="S90" i="8"/>
  <c r="S83" i="8"/>
  <c r="O81" i="8"/>
  <c r="O79" i="8"/>
  <c r="H87" i="8"/>
  <c r="H83" i="8"/>
  <c r="N84" i="8"/>
  <c r="N82" i="8"/>
  <c r="N81" i="8"/>
  <c r="U83" i="8"/>
  <c r="U84" i="8"/>
  <c r="M83" i="8"/>
  <c r="M84" i="8"/>
  <c r="J87" i="8"/>
  <c r="J90" i="8"/>
  <c r="P92" i="8"/>
  <c r="P84" i="8"/>
  <c r="E85" i="8"/>
  <c r="E81" i="8"/>
  <c r="E82" i="8"/>
  <c r="D85" i="8"/>
  <c r="AC85" i="8"/>
  <c r="AC88" i="8"/>
  <c r="O90" i="8"/>
  <c r="O85" i="8"/>
  <c r="K91" i="8"/>
  <c r="K88" i="8"/>
  <c r="Z84" i="8"/>
  <c r="Z88" i="8"/>
  <c r="V83" i="8"/>
  <c r="V88" i="8"/>
  <c r="N85" i="8"/>
  <c r="J88" i="8"/>
  <c r="R92" i="8"/>
  <c r="AE80" i="8"/>
  <c r="T86" i="8"/>
  <c r="L90" i="8"/>
  <c r="AA80" i="8"/>
  <c r="AA90" i="8"/>
  <c r="K79" i="8"/>
  <c r="T79" i="8"/>
  <c r="AE79" i="8"/>
  <c r="Q80" i="8"/>
  <c r="S80" i="8"/>
  <c r="L81" i="8"/>
  <c r="X81" i="8"/>
  <c r="W82" i="8"/>
  <c r="T82" i="8"/>
  <c r="AB83" i="8"/>
  <c r="K90" i="8"/>
  <c r="G90" i="8"/>
  <c r="I87" i="8"/>
  <c r="F85" i="8"/>
  <c r="M80" i="8"/>
  <c r="O84" i="8"/>
  <c r="AB80" i="8"/>
  <c r="R85" i="8"/>
  <c r="AE85" i="8"/>
  <c r="Y86" i="8"/>
  <c r="P87" i="8"/>
  <c r="Z87" i="8"/>
  <c r="T88" i="8"/>
  <c r="N89" i="8"/>
  <c r="V89" i="8"/>
  <c r="P90" i="8"/>
  <c r="U92" i="8"/>
  <c r="AA81" i="8"/>
  <c r="AA91" i="8"/>
  <c r="L79" i="8"/>
  <c r="U79" i="8"/>
  <c r="P80" i="8"/>
  <c r="V80" i="8"/>
  <c r="Y81" i="8"/>
  <c r="U82" i="8"/>
  <c r="Q83" i="8"/>
  <c r="AE83" i="8"/>
  <c r="I90" i="8"/>
  <c r="K87" i="8"/>
  <c r="G85" i="8"/>
  <c r="J83" i="8"/>
  <c r="AB84" i="8"/>
  <c r="S85" i="8"/>
  <c r="L86" i="8"/>
  <c r="W86" i="8"/>
  <c r="Y87" i="8"/>
  <c r="AB87" i="8"/>
  <c r="S88" i="8"/>
  <c r="O89" i="8"/>
  <c r="W89" i="8"/>
  <c r="L92" i="8"/>
  <c r="T92" i="8"/>
  <c r="AA83" i="8"/>
  <c r="M79" i="8"/>
  <c r="V79" i="8"/>
  <c r="E80" i="8"/>
  <c r="J80" i="8"/>
  <c r="Z80" i="8"/>
  <c r="G81" i="8"/>
  <c r="U81" i="8"/>
  <c r="AB81" i="8"/>
  <c r="M82" i="8"/>
  <c r="V82" i="8"/>
  <c r="F91" i="8"/>
  <c r="H90" i="8"/>
  <c r="I85" i="8"/>
  <c r="W84" i="8"/>
  <c r="V85" i="8"/>
  <c r="M86" i="8"/>
  <c r="X86" i="8"/>
  <c r="V87" i="8"/>
  <c r="AC87" i="8"/>
  <c r="W88" i="8"/>
  <c r="Q89" i="8"/>
  <c r="X89" i="8"/>
  <c r="U90" i="8"/>
  <c r="M92" i="8"/>
  <c r="AA85" i="8"/>
  <c r="E79" i="8"/>
  <c r="N79" i="8"/>
  <c r="W79" i="8"/>
  <c r="F80" i="8"/>
  <c r="K80" i="8"/>
  <c r="W80" i="8"/>
  <c r="R81" i="8"/>
  <c r="AC81" i="8"/>
  <c r="O82" i="8"/>
  <c r="Y82" i="8"/>
  <c r="P83" i="8"/>
  <c r="F86" i="8"/>
  <c r="K85" i="8"/>
  <c r="V84" i="8"/>
  <c r="W85" i="8"/>
  <c r="P86" i="8"/>
  <c r="Z86" i="8"/>
  <c r="U87" i="8"/>
  <c r="AE87" i="8"/>
  <c r="Y88" i="8"/>
  <c r="P89" i="8"/>
  <c r="Z89" i="8"/>
  <c r="T90" i="8"/>
  <c r="AA86" i="8"/>
  <c r="F79" i="8"/>
  <c r="P79" i="8"/>
  <c r="X79" i="8"/>
  <c r="H80" i="8"/>
  <c r="L80" i="8"/>
  <c r="X80" i="8"/>
  <c r="S81" i="8"/>
  <c r="AE81" i="8"/>
  <c r="Q82" i="8"/>
  <c r="L83" i="8"/>
  <c r="R83" i="8"/>
  <c r="E90" i="8"/>
  <c r="E89" i="8"/>
  <c r="G86" i="8"/>
  <c r="J85" i="8"/>
  <c r="X84" i="8"/>
  <c r="L85" i="8"/>
  <c r="X85" i="8"/>
  <c r="R86" i="8"/>
  <c r="AC86" i="8"/>
  <c r="T87" i="8"/>
  <c r="M88" i="8"/>
  <c r="X88" i="8"/>
  <c r="R89" i="8"/>
  <c r="AB89" i="8"/>
  <c r="Z90" i="8"/>
  <c r="O92" i="8"/>
  <c r="Z91" i="8"/>
  <c r="AA87" i="8"/>
  <c r="H79" i="8"/>
  <c r="Q79" i="8"/>
  <c r="Y79" i="8"/>
  <c r="U80" i="8"/>
  <c r="N80" i="8"/>
  <c r="Y80" i="8"/>
  <c r="F82" i="8"/>
  <c r="L82" i="8"/>
  <c r="P82" i="8"/>
  <c r="N90" i="8"/>
  <c r="H86" i="8"/>
  <c r="G84" i="8"/>
  <c r="T84" i="8"/>
  <c r="Y84" i="8"/>
  <c r="Z85" i="8"/>
  <c r="U86" i="8"/>
  <c r="AE86" i="8"/>
  <c r="S87" i="8"/>
  <c r="N88" i="8"/>
  <c r="AB88" i="8"/>
  <c r="T89" i="8"/>
  <c r="AC89" i="8"/>
  <c r="AB90" i="8"/>
  <c r="AE91" i="8"/>
  <c r="AA88" i="8"/>
  <c r="I79" i="8"/>
  <c r="R79" i="8"/>
  <c r="Z79" i="8"/>
  <c r="T80" i="8"/>
  <c r="O80" i="8"/>
  <c r="AC80" i="8"/>
  <c r="M81" i="8"/>
  <c r="V81" i="8"/>
  <c r="Z82" i="8"/>
  <c r="R82" i="8"/>
  <c r="T83" i="8"/>
  <c r="M90" i="8"/>
  <c r="J91" i="8"/>
  <c r="H89" i="8"/>
  <c r="Q84" i="8"/>
  <c r="AA84" i="8"/>
  <c r="P85" i="8"/>
  <c r="AB85" i="8"/>
  <c r="O87" i="8"/>
  <c r="W87" i="8"/>
  <c r="R88" i="8"/>
  <c r="L89" i="8"/>
  <c r="U89" i="8"/>
  <c r="AE89" i="8"/>
  <c r="Q92" i="8"/>
  <c r="AC91" i="8"/>
  <c r="AA79" i="8"/>
  <c r="J79" i="8"/>
  <c r="S79" i="8"/>
  <c r="AC79" i="8"/>
  <c r="I80" i="8"/>
  <c r="R80" i="8"/>
  <c r="X82" i="8"/>
  <c r="Q85" i="8"/>
  <c r="U88" i="8"/>
  <c r="Y94" i="5"/>
  <c r="Y100" i="5"/>
  <c r="Y172" i="5"/>
  <c r="Y151" i="5"/>
  <c r="Y91" i="5"/>
  <c r="Y112" i="5"/>
  <c r="Y148" i="5"/>
  <c r="Y169" i="5"/>
  <c r="Y181" i="5"/>
  <c r="Y160" i="5"/>
  <c r="Y85" i="5"/>
  <c r="Y106" i="5"/>
  <c r="Y166" i="5"/>
  <c r="Y178" i="5"/>
  <c r="Y157" i="5"/>
  <c r="Y97" i="5"/>
  <c r="Y103" i="5"/>
  <c r="Y163" i="5"/>
  <c r="Y175" i="5"/>
  <c r="Y154" i="5"/>
  <c r="Y118" i="5"/>
  <c r="Y121" i="5"/>
  <c r="Y124" i="5"/>
  <c r="Y130" i="5"/>
  <c r="Y133" i="5"/>
  <c r="Y136" i="5"/>
  <c r="Y139" i="5"/>
  <c r="Y142" i="5"/>
  <c r="Y145" i="5"/>
  <c r="Y4" i="5"/>
  <c r="Y7" i="5"/>
  <c r="Y10" i="5"/>
  <c r="Y13" i="5"/>
  <c r="Y16" i="5"/>
  <c r="Y19" i="5"/>
  <c r="Y22" i="5"/>
  <c r="Y25" i="5"/>
  <c r="Y28" i="5"/>
  <c r="Y31" i="5"/>
  <c r="Y34" i="5"/>
  <c r="Y37" i="5"/>
  <c r="Y40" i="5"/>
  <c r="Y43" i="5"/>
  <c r="Y46" i="5"/>
  <c r="Y49" i="5"/>
  <c r="Y52" i="5"/>
  <c r="Y55" i="5"/>
  <c r="Y58" i="5"/>
  <c r="Y61" i="5"/>
  <c r="Y64" i="5"/>
  <c r="Y67" i="5"/>
  <c r="Y70" i="5"/>
  <c r="Y73" i="5"/>
  <c r="Y76" i="5"/>
  <c r="Y79" i="5"/>
  <c r="Y82" i="5"/>
  <c r="K69" i="2" l="1"/>
  <c r="G69" i="2"/>
  <c r="E69" i="2"/>
  <c r="F69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3" i="2"/>
  <c r="N34" i="2"/>
  <c r="N35" i="2"/>
  <c r="N36" i="2"/>
  <c r="N40" i="2"/>
  <c r="N41" i="2"/>
  <c r="N42" i="2"/>
  <c r="N44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4" i="2"/>
  <c r="AN43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D51" i="1"/>
  <c r="AH51" i="1"/>
  <c r="N51" i="1"/>
  <c r="T51" i="1"/>
  <c r="H51" i="1"/>
  <c r="D51" i="1"/>
  <c r="AB47" i="1" l="1"/>
  <c r="Z47" i="1"/>
  <c r="Z44" i="1"/>
  <c r="AB44" i="1"/>
  <c r="Z46" i="1"/>
  <c r="AB41" i="1"/>
  <c r="Z41" i="1"/>
  <c r="AB50" i="1"/>
  <c r="Z49" i="1"/>
  <c r="AB43" i="1"/>
  <c r="AX43" i="1" s="1"/>
  <c r="AB48" i="1"/>
  <c r="AB45" i="1"/>
  <c r="AX45" i="1" s="1"/>
  <c r="AB42" i="1"/>
  <c r="AM62" i="1" s="1"/>
  <c r="X91" i="5"/>
  <c r="X43" i="5"/>
  <c r="AB49" i="1"/>
  <c r="N69" i="2"/>
  <c r="O69" i="2"/>
  <c r="X124" i="5"/>
  <c r="X166" i="5"/>
  <c r="X58" i="5"/>
  <c r="X55" i="5"/>
  <c r="Z55" i="5" s="1"/>
  <c r="AA55" i="5" s="1"/>
  <c r="X172" i="5"/>
  <c r="X13" i="5"/>
  <c r="Z13" i="5" s="1"/>
  <c r="X130" i="5"/>
  <c r="X52" i="5"/>
  <c r="X157" i="5"/>
  <c r="X85" i="5"/>
  <c r="X37" i="5"/>
  <c r="X4" i="5"/>
  <c r="Z4" i="5" s="1"/>
  <c r="X7" i="5"/>
  <c r="Z7" i="5" s="1"/>
  <c r="X103" i="5"/>
  <c r="X49" i="5"/>
  <c r="X118" i="5"/>
  <c r="X181" i="5"/>
  <c r="X154" i="5"/>
  <c r="X82" i="5"/>
  <c r="X31" i="5"/>
  <c r="X40" i="5"/>
  <c r="X163" i="5"/>
  <c r="X46" i="5"/>
  <c r="X178" i="5"/>
  <c r="X151" i="5"/>
  <c r="X79" i="5"/>
  <c r="X19" i="5"/>
  <c r="Z19" i="5" s="1"/>
  <c r="X160" i="5"/>
  <c r="X97" i="5"/>
  <c r="X61" i="5"/>
  <c r="X175" i="5"/>
  <c r="X148" i="5"/>
  <c r="X100" i="5"/>
  <c r="X64" i="5"/>
  <c r="X16" i="5"/>
  <c r="Z16" i="5" s="1"/>
  <c r="X34" i="5"/>
  <c r="X145" i="5"/>
  <c r="X76" i="5"/>
  <c r="X133" i="5"/>
  <c r="X28" i="5"/>
  <c r="X142" i="5"/>
  <c r="X73" i="5"/>
  <c r="X169" i="5"/>
  <c r="X94" i="5"/>
  <c r="X25" i="5"/>
  <c r="X139" i="5"/>
  <c r="X70" i="5"/>
  <c r="X121" i="5"/>
  <c r="X22" i="5"/>
  <c r="X136" i="5"/>
  <c r="X67" i="5"/>
  <c r="X10" i="5"/>
  <c r="Z10" i="5" s="1"/>
  <c r="M69" i="2"/>
  <c r="Z45" i="1"/>
  <c r="AM58" i="1" s="1"/>
  <c r="Z50" i="1"/>
  <c r="Z48" i="1"/>
  <c r="AB46" i="1"/>
  <c r="Z43" i="1"/>
  <c r="Z42" i="1"/>
  <c r="V51" i="1"/>
  <c r="X51" i="1"/>
  <c r="AJ51" i="1"/>
  <c r="AF51" i="1"/>
  <c r="P51" i="1"/>
  <c r="R51" i="1"/>
  <c r="J51" i="1"/>
  <c r="L51" i="1"/>
  <c r="Z76" i="5" l="1"/>
  <c r="AA76" i="5" s="1"/>
  <c r="Z25" i="5"/>
  <c r="AA25" i="5" s="1"/>
  <c r="Z145" i="5"/>
  <c r="AA145" i="5" s="1"/>
  <c r="Z97" i="5"/>
  <c r="AA97" i="5" s="1"/>
  <c r="Z46" i="5"/>
  <c r="AA46" i="5" s="1"/>
  <c r="Z181" i="5"/>
  <c r="AA181" i="5" s="1"/>
  <c r="Z124" i="5"/>
  <c r="AA124" i="5" s="1"/>
  <c r="Z94" i="5"/>
  <c r="AA94" i="5" s="1"/>
  <c r="Z34" i="5"/>
  <c r="AA34" i="5" s="1"/>
  <c r="Z118" i="5"/>
  <c r="AA118" i="5" s="1"/>
  <c r="Z52" i="5"/>
  <c r="AA52" i="5" s="1"/>
  <c r="Z130" i="5"/>
  <c r="AA130" i="5" s="1"/>
  <c r="Z136" i="5"/>
  <c r="AA136" i="5" s="1"/>
  <c r="Z73" i="5"/>
  <c r="AA73" i="5" s="1"/>
  <c r="Z64" i="5"/>
  <c r="AA64" i="5" s="1"/>
  <c r="Z40" i="5"/>
  <c r="AA40" i="5" s="1"/>
  <c r="Z103" i="5"/>
  <c r="AA103" i="5" s="1"/>
  <c r="Z142" i="5"/>
  <c r="AA142" i="5" s="1"/>
  <c r="Z100" i="5"/>
  <c r="AA100" i="5" s="1"/>
  <c r="Z79" i="5"/>
  <c r="AA79" i="5" s="1"/>
  <c r="Z31" i="5"/>
  <c r="AA31" i="5" s="1"/>
  <c r="Z172" i="5"/>
  <c r="AA172" i="5" s="1"/>
  <c r="Z22" i="5"/>
  <c r="AA22" i="5" s="1"/>
  <c r="Z121" i="5"/>
  <c r="AA121" i="5" s="1"/>
  <c r="Z28" i="5"/>
  <c r="AA28" i="5" s="1"/>
  <c r="Z106" i="5"/>
  <c r="AA106" i="5" s="1"/>
  <c r="Z82" i="5"/>
  <c r="AA82" i="5" s="1"/>
  <c r="Z43" i="5"/>
  <c r="AA43" i="5" s="1"/>
  <c r="Z169" i="5"/>
  <c r="AA169" i="5" s="1"/>
  <c r="Z70" i="5"/>
  <c r="AA70" i="5" s="1"/>
  <c r="Z133" i="5"/>
  <c r="AA133" i="5" s="1"/>
  <c r="Z175" i="5"/>
  <c r="AA175" i="5" s="1"/>
  <c r="Z112" i="5"/>
  <c r="AA112" i="5" s="1"/>
  <c r="Z37" i="5"/>
  <c r="AA37" i="5" s="1"/>
  <c r="Z58" i="5"/>
  <c r="AA58" i="5" s="1"/>
  <c r="Z91" i="5"/>
  <c r="AA91" i="5" s="1"/>
  <c r="Z67" i="5"/>
  <c r="AA67" i="5" s="1"/>
  <c r="Z49" i="5"/>
  <c r="AA49" i="5" s="1"/>
  <c r="Z139" i="5"/>
  <c r="AA139" i="5" s="1"/>
  <c r="Z61" i="5"/>
  <c r="AA61" i="5" s="1"/>
  <c r="Z178" i="5"/>
  <c r="AA178" i="5" s="1"/>
  <c r="Z85" i="5"/>
  <c r="AA85" i="5" s="1"/>
  <c r="Z166" i="5"/>
  <c r="AA166" i="5" s="1"/>
  <c r="Z157" i="5"/>
  <c r="AA157" i="5" s="1"/>
  <c r="Z160" i="5"/>
  <c r="AA160" i="5" s="1"/>
  <c r="Z163" i="5"/>
  <c r="AA163" i="5" s="1"/>
  <c r="Z148" i="5"/>
  <c r="AA148" i="5" s="1"/>
  <c r="Z151" i="5"/>
  <c r="AA151" i="5" s="1"/>
  <c r="Z154" i="5"/>
  <c r="AA154" i="5" s="1"/>
  <c r="BB45" i="1" l="1"/>
  <c r="BB43" i="1"/>
  <c r="G79" i="8"/>
  <c r="P81" i="8"/>
  <c r="AA82" i="8"/>
  <c r="AC82" i="8"/>
  <c r="AE82" i="8"/>
  <c r="E83" i="8"/>
  <c r="W83" i="8"/>
  <c r="Z83" i="8"/>
  <c r="AC83" i="8"/>
  <c r="H84" i="8"/>
  <c r="I84" i="8"/>
  <c r="J84" i="8"/>
  <c r="K84" i="8"/>
  <c r="L84" i="8"/>
  <c r="M85" i="8"/>
  <c r="T85" i="8"/>
  <c r="U85" i="8"/>
  <c r="E86" i="8"/>
  <c r="I86" i="8"/>
  <c r="J86" i="8"/>
  <c r="K86" i="8"/>
  <c r="N86" i="8"/>
  <c r="O86" i="8"/>
  <c r="Q86" i="8"/>
  <c r="V86" i="8"/>
  <c r="L87" i="8"/>
  <c r="M87" i="8"/>
  <c r="N87" i="8"/>
  <c r="R87" i="8"/>
  <c r="P88" i="8"/>
  <c r="Q88" i="8"/>
  <c r="G89" i="8"/>
  <c r="J89" i="8"/>
  <c r="K89" i="8"/>
  <c r="S89" i="8"/>
  <c r="F90" i="8"/>
  <c r="Q90" i="8"/>
  <c r="R90" i="8"/>
  <c r="V90" i="8"/>
  <c r="W90" i="8"/>
  <c r="X90" i="8"/>
  <c r="Y90" i="8"/>
  <c r="AC90" i="8"/>
  <c r="AE90" i="8"/>
  <c r="E91" i="8"/>
  <c r="B37" i="1"/>
  <c r="C37" i="1"/>
  <c r="Y85" i="8"/>
  <c r="AB82" i="8"/>
  <c r="AB79" i="8"/>
  <c r="AB86" i="8"/>
  <c r="AL46" i="1"/>
  <c r="AV46" i="1" s="1"/>
  <c r="AX44" i="1"/>
  <c r="O66" i="1"/>
  <c r="T67" i="1" s="1"/>
  <c r="AM67" i="1" s="1"/>
  <c r="AM68" i="1" s="1"/>
  <c r="O58" i="1"/>
  <c r="AN49" i="1"/>
  <c r="AN47" i="1"/>
  <c r="AN48" i="1"/>
  <c r="O55" i="1"/>
  <c r="AN46" i="1"/>
  <c r="AX46" i="1" s="1"/>
  <c r="O54" i="1" l="1"/>
  <c r="T55" i="1" s="1"/>
  <c r="O62" i="1"/>
  <c r="AN41" i="1"/>
  <c r="AX41" i="1" s="1"/>
  <c r="AX47" i="1"/>
  <c r="BB47" i="1" s="1"/>
  <c r="AL41" i="1"/>
  <c r="AV41" i="1" s="1"/>
  <c r="AZ41" i="1" s="1"/>
  <c r="AX49" i="1"/>
  <c r="BB49" i="1" s="1"/>
  <c r="AX48" i="1"/>
  <c r="BB48" i="1" s="1"/>
  <c r="O74" i="1"/>
  <c r="T75" i="1" s="1"/>
  <c r="AM75" i="1" s="1"/>
  <c r="AM76" i="1" s="1"/>
  <c r="AL48" i="1"/>
  <c r="O82" i="1"/>
  <c r="T83" i="1" s="1"/>
  <c r="AM83" i="1" s="1"/>
  <c r="AM84" i="1" s="1"/>
  <c r="O70" i="1"/>
  <c r="T71" i="1" s="1"/>
  <c r="AM71" i="1" s="1"/>
  <c r="AM72" i="1" s="1"/>
  <c r="O63" i="1"/>
  <c r="T63" i="1" s="1"/>
  <c r="AM63" i="1" s="1"/>
  <c r="AM64" i="1" s="1"/>
  <c r="AL45" i="1"/>
  <c r="T59" i="1"/>
  <c r="AM59" i="1" s="1"/>
  <c r="AM60" i="1" s="1"/>
  <c r="O78" i="1"/>
  <c r="T79" i="1" s="1"/>
  <c r="AM79" i="1" s="1"/>
  <c r="AM80" i="1" s="1"/>
  <c r="BB44" i="1"/>
  <c r="BB46" i="1"/>
  <c r="AN42" i="1"/>
  <c r="AX42" i="1" s="1"/>
  <c r="AZ46" i="1"/>
  <c r="AL47" i="1"/>
  <c r="AL43" i="1"/>
  <c r="AV43" i="1" s="1"/>
  <c r="F93" i="8"/>
  <c r="Q93" i="8"/>
  <c r="I93" i="8"/>
  <c r="V93" i="8"/>
  <c r="O93" i="8"/>
  <c r="G93" i="8"/>
  <c r="AL42" i="1"/>
  <c r="AC93" i="8"/>
  <c r="AA93" i="8"/>
  <c r="L93" i="8"/>
  <c r="AB93" i="8"/>
  <c r="T93" i="8"/>
  <c r="U93" i="8"/>
  <c r="W93" i="8"/>
  <c r="AE93" i="8"/>
  <c r="N93" i="8"/>
  <c r="X93" i="8"/>
  <c r="H93" i="8"/>
  <c r="Z93" i="8"/>
  <c r="K93" i="8"/>
  <c r="AN50" i="1"/>
  <c r="AX50" i="1" s="1"/>
  <c r="R93" i="8"/>
  <c r="J93" i="8"/>
  <c r="O90" i="1"/>
  <c r="E93" i="8"/>
  <c r="Y93" i="8"/>
  <c r="M93" i="8"/>
  <c r="P93" i="8"/>
  <c r="S93" i="8"/>
  <c r="O86" i="1"/>
  <c r="T87" i="1" s="1"/>
  <c r="AM87" i="1" s="1"/>
  <c r="AM88" i="1" s="1"/>
  <c r="AM55" i="1" l="1"/>
  <c r="AM56" i="1" s="1"/>
  <c r="O91" i="1"/>
  <c r="T91" i="1" s="1"/>
  <c r="AM91" i="1" s="1"/>
  <c r="AM92" i="1" s="1"/>
  <c r="AV45" i="1"/>
  <c r="AZ45" i="1" s="1"/>
  <c r="BD45" i="1" s="1"/>
  <c r="BF45" i="1" s="1"/>
  <c r="BI45" i="1" s="1"/>
  <c r="AV44" i="1"/>
  <c r="AZ44" i="1" s="1"/>
  <c r="BD44" i="1" s="1"/>
  <c r="BF44" i="1" s="1"/>
  <c r="BI44" i="1" s="1"/>
  <c r="AV47" i="1"/>
  <c r="AZ47" i="1" s="1"/>
  <c r="BD47" i="1" s="1"/>
  <c r="BF47" i="1" s="1"/>
  <c r="BI47" i="1" s="1"/>
  <c r="AV48" i="1"/>
  <c r="AZ48" i="1" s="1"/>
  <c r="BD48" i="1" s="1"/>
  <c r="BF48" i="1" s="1"/>
  <c r="BI48" i="1" s="1"/>
  <c r="AV42" i="1"/>
  <c r="AZ42" i="1" s="1"/>
  <c r="BD46" i="1"/>
  <c r="BF46" i="1" s="1"/>
  <c r="BI46" i="1" s="1"/>
  <c r="AP78" i="1"/>
  <c r="BB41" i="1"/>
  <c r="BD41" i="1" s="1"/>
  <c r="BF41" i="1" s="1"/>
  <c r="BI41" i="1" s="1"/>
  <c r="BB42" i="1"/>
  <c r="BB50" i="1"/>
  <c r="AZ43" i="1"/>
  <c r="BD43" i="1" s="1"/>
  <c r="BF43" i="1" s="1"/>
  <c r="BI43" i="1" s="1"/>
  <c r="AX51" i="1"/>
  <c r="AL49" i="1"/>
  <c r="AV49" i="1" s="1"/>
  <c r="AL50" i="1"/>
  <c r="AN51" i="1"/>
  <c r="AB51" i="1"/>
  <c r="F51" i="1"/>
  <c r="X184" i="5"/>
  <c r="AA13" i="5"/>
  <c r="AA10" i="5"/>
  <c r="AA16" i="5"/>
  <c r="AA7" i="5"/>
  <c r="AA4" i="5"/>
  <c r="AA19" i="5"/>
  <c r="BD42" i="1" l="1"/>
  <c r="BF42" i="1" s="1"/>
  <c r="BI42" i="1" s="1"/>
  <c r="AV50" i="1"/>
  <c r="AZ50" i="1" s="1"/>
  <c r="BD50" i="1" s="1"/>
  <c r="BF50" i="1" s="1"/>
  <c r="BI50" i="1" s="1"/>
  <c r="AZ49" i="1"/>
  <c r="BB51" i="1"/>
  <c r="AL51" i="1"/>
  <c r="AR51" i="1"/>
  <c r="AA184" i="5"/>
  <c r="Z51" i="1"/>
  <c r="Z184" i="5"/>
  <c r="Y184" i="5"/>
  <c r="AV51" i="1" l="1"/>
  <c r="AZ51" i="1"/>
  <c r="BD49" i="1"/>
  <c r="BF49" i="1" s="1"/>
  <c r="AP51" i="1"/>
  <c r="BF51" i="1" l="1"/>
  <c r="BI49" i="1"/>
  <c r="BD51" i="1"/>
  <c r="D69" i="2"/>
  <c r="AH37" i="8"/>
  <c r="BC37" i="8"/>
  <c r="BG37" i="8"/>
  <c r="AV37" i="8"/>
  <c r="AX37" i="8"/>
  <c r="BJ37" i="8"/>
  <c r="BO37" i="8"/>
  <c r="BP37" i="8"/>
  <c r="AY37" i="8"/>
  <c r="AW37" i="8"/>
  <c r="BW37" i="8"/>
  <c r="AT37" i="8"/>
  <c r="CC37" i="8"/>
  <c r="CB37" i="8"/>
  <c r="CG37" i="8"/>
  <c r="CM37" i="8"/>
  <c r="AN37" i="8"/>
  <c r="BT37" i="8"/>
  <c r="BI37" i="8"/>
  <c r="BF37" i="8"/>
  <c r="BE37" i="8"/>
  <c r="BQ37" i="8"/>
  <c r="CA37" i="8"/>
  <c r="CF37" i="8"/>
  <c r="CP37" i="8"/>
  <c r="BB37" i="8"/>
  <c r="AG37" i="8"/>
  <c r="CD37" i="8"/>
  <c r="AI37" i="8"/>
  <c r="BN37" i="8"/>
  <c r="BX37" i="8"/>
  <c r="AL37" i="8"/>
  <c r="AM37" i="8"/>
  <c r="D79" i="8"/>
  <c r="CI37" i="8"/>
  <c r="AQ37" i="8"/>
  <c r="BM37" i="8"/>
  <c r="BL37" i="8"/>
  <c r="BH37" i="8"/>
  <c r="CK37" i="8"/>
  <c r="BZ37" i="8"/>
  <c r="AK37" i="8"/>
  <c r="AO37" i="8"/>
  <c r="AR37" i="8"/>
  <c r="AS37" i="8"/>
  <c r="CJ37" i="8"/>
  <c r="BK37" i="8"/>
  <c r="BV37" i="8"/>
  <c r="AJ37" i="8"/>
  <c r="BD37" i="8"/>
  <c r="BR37" i="8"/>
  <c r="CH37" i="8"/>
  <c r="AF37" i="8"/>
  <c r="AU37" i="8"/>
  <c r="AZ37" i="8"/>
  <c r="BA37" i="8"/>
  <c r="AP37" i="8"/>
  <c r="BS37" i="8"/>
  <c r="CN37" i="8"/>
  <c r="CE37" i="8"/>
  <c r="CO37" i="8"/>
  <c r="D80" i="8"/>
  <c r="D82" i="8"/>
  <c r="D86" i="8"/>
  <c r="D91" i="8"/>
  <c r="D90" i="8"/>
  <c r="D83" i="8"/>
  <c r="D81" i="8"/>
  <c r="D89" i="8"/>
  <c r="D93" i="8" l="1"/>
</calcChain>
</file>

<file path=xl/sharedStrings.xml><?xml version="1.0" encoding="utf-8"?>
<sst xmlns="http://schemas.openxmlformats.org/spreadsheetml/2006/main" count="3234" uniqueCount="524">
  <si>
    <t>SỞ GIÁO DỤC VÀ ĐÀO TẠO ĐẮK LẮK</t>
  </si>
  <si>
    <t>TRƯỜNG THPT HUỲNH THÚC KHÁNG</t>
  </si>
  <si>
    <t>TT</t>
  </si>
  <si>
    <t>MÔN</t>
  </si>
  <si>
    <t>THỂ DỤC</t>
  </si>
  <si>
    <t>GDCD</t>
  </si>
  <si>
    <t>KH</t>
  </si>
  <si>
    <t>HỌ VÀ TÊN</t>
  </si>
  <si>
    <t>TS</t>
  </si>
  <si>
    <t>C. VỤ</t>
  </si>
  <si>
    <t>Tiết TC</t>
  </si>
  <si>
    <t>Tiết KN</t>
  </si>
  <si>
    <t>GHI CHÚ</t>
  </si>
  <si>
    <t>T2</t>
  </si>
  <si>
    <t>Toán</t>
  </si>
  <si>
    <t>TTCM</t>
  </si>
  <si>
    <t>PHT</t>
  </si>
  <si>
    <t>GV</t>
  </si>
  <si>
    <t>11A1</t>
  </si>
  <si>
    <t>Toán-tin</t>
  </si>
  <si>
    <t>12A3</t>
  </si>
  <si>
    <t>10A2</t>
  </si>
  <si>
    <t>Tin</t>
  </si>
  <si>
    <t>Lý - CN</t>
  </si>
  <si>
    <t>11A2</t>
  </si>
  <si>
    <t>TKHĐ</t>
  </si>
  <si>
    <t>Hóa</t>
  </si>
  <si>
    <t>12A1</t>
  </si>
  <si>
    <t>CN</t>
  </si>
  <si>
    <t>Ngữ văn</t>
  </si>
  <si>
    <t>12A2</t>
  </si>
  <si>
    <t>10A1</t>
  </si>
  <si>
    <t>Địa</t>
  </si>
  <si>
    <t>Anh văn</t>
  </si>
  <si>
    <t>TD</t>
  </si>
  <si>
    <t xml:space="preserve">Lớp </t>
  </si>
  <si>
    <t>QP</t>
  </si>
  <si>
    <t>NPT</t>
  </si>
  <si>
    <t>Ghi chú</t>
  </si>
  <si>
    <t xml:space="preserve">PHÂN CÔNG CHUYÊN MÔN  </t>
  </si>
  <si>
    <t>MÃ GV</t>
  </si>
  <si>
    <t>LỚP DẠY</t>
  </si>
  <si>
    <t>KN</t>
  </si>
  <si>
    <t>T/TUẦN</t>
  </si>
  <si>
    <t>Toán - Tin</t>
  </si>
  <si>
    <t>T3</t>
  </si>
  <si>
    <t>T4</t>
  </si>
  <si>
    <t>T5</t>
  </si>
  <si>
    <t>Tt1</t>
  </si>
  <si>
    <t>Tt2</t>
  </si>
  <si>
    <t>Tt3</t>
  </si>
  <si>
    <t>Tt4</t>
  </si>
  <si>
    <t>Tt5</t>
  </si>
  <si>
    <t>Tt6</t>
  </si>
  <si>
    <t>Tt7</t>
  </si>
  <si>
    <t>Tt9</t>
  </si>
  <si>
    <t>Tn3</t>
  </si>
  <si>
    <t>Lc2</t>
  </si>
  <si>
    <t>Lc3</t>
  </si>
  <si>
    <t>Lc4</t>
  </si>
  <si>
    <t>Lc5</t>
  </si>
  <si>
    <t>Lc6</t>
  </si>
  <si>
    <t>Lc7</t>
  </si>
  <si>
    <t>Lc8</t>
  </si>
  <si>
    <t>H1</t>
  </si>
  <si>
    <t>Hóa học</t>
  </si>
  <si>
    <t>H2</t>
  </si>
  <si>
    <t>H3</t>
  </si>
  <si>
    <t>H4</t>
  </si>
  <si>
    <t>H5</t>
  </si>
  <si>
    <t>Sn1</t>
  </si>
  <si>
    <t>Sinh - CN</t>
  </si>
  <si>
    <t>Sn2</t>
  </si>
  <si>
    <t>Sn3</t>
  </si>
  <si>
    <t>Sn4</t>
  </si>
  <si>
    <t>V1</t>
  </si>
  <si>
    <t>V2</t>
  </si>
  <si>
    <t>V3</t>
  </si>
  <si>
    <t>V4</t>
  </si>
  <si>
    <t>V5</t>
  </si>
  <si>
    <t>V6</t>
  </si>
  <si>
    <t>V7</t>
  </si>
  <si>
    <t>V9</t>
  </si>
  <si>
    <t>Sg1</t>
  </si>
  <si>
    <t>Sử - GDCD</t>
  </si>
  <si>
    <t>Sg2</t>
  </si>
  <si>
    <t>Sg3</t>
  </si>
  <si>
    <t>G1</t>
  </si>
  <si>
    <t>G2</t>
  </si>
  <si>
    <t>Địa lý</t>
  </si>
  <si>
    <t>D2</t>
  </si>
  <si>
    <t>D3</t>
  </si>
  <si>
    <t>D4</t>
  </si>
  <si>
    <t>A1</t>
  </si>
  <si>
    <t>A3</t>
  </si>
  <si>
    <t>A4</t>
  </si>
  <si>
    <t>A5</t>
  </si>
  <si>
    <t>A6</t>
  </si>
  <si>
    <t>Q1</t>
  </si>
  <si>
    <t>Thể dục - QP</t>
  </si>
  <si>
    <t>Q2</t>
  </si>
  <si>
    <t>Tq1</t>
  </si>
  <si>
    <t>Tq3</t>
  </si>
  <si>
    <t>Tq4</t>
  </si>
  <si>
    <t>Tq5</t>
  </si>
  <si>
    <t>TOÁN - TIN</t>
  </si>
  <si>
    <t>LÝ - CN</t>
  </si>
  <si>
    <t>HÓA HỌC</t>
  </si>
  <si>
    <t>SINH - CN</t>
  </si>
  <si>
    <t>NGỮ VĂN</t>
  </si>
  <si>
    <t>ĐỊA LÍ</t>
  </si>
  <si>
    <t>NGOẠI NGỮ</t>
  </si>
  <si>
    <t>Số GV đứng lớp</t>
  </si>
  <si>
    <t>Tổng tiết/tổ</t>
  </si>
  <si>
    <t>GVCN</t>
  </si>
  <si>
    <t>Phan Ngọc Quý</t>
  </si>
  <si>
    <t>10A5</t>
  </si>
  <si>
    <t>Phan Thanh Nhật</t>
  </si>
  <si>
    <t>Nguyễn Công Nguyên</t>
  </si>
  <si>
    <t>Nguyễn Thị Tâm</t>
  </si>
  <si>
    <t>Nguyễn Minh Hảo</t>
  </si>
  <si>
    <t>10A4</t>
  </si>
  <si>
    <t>Nguyễn Minh Châu</t>
  </si>
  <si>
    <t>Nguyễn Thị Quỳnh Uyên</t>
  </si>
  <si>
    <t>11A4</t>
  </si>
  <si>
    <t>Nguyễn Thể Bình Viên</t>
  </si>
  <si>
    <t>Hoàng Bá Đạt</t>
  </si>
  <si>
    <t>Huỳnh Thị Liên</t>
  </si>
  <si>
    <t>Bùi Quý Mười</t>
  </si>
  <si>
    <t>Trịnh Hoàng Nhân</t>
  </si>
  <si>
    <t>Đoàn Thị Như Ngà</t>
  </si>
  <si>
    <t>Nguyễn Văn Cương</t>
  </si>
  <si>
    <t>Nguyễn Thị Tuyết Hoa</t>
  </si>
  <si>
    <t>Phạm Hùng Lĩnh</t>
  </si>
  <si>
    <t>H' Sơry Êban</t>
  </si>
  <si>
    <t>Lưu Thị Quý</t>
  </si>
  <si>
    <t>Nguyễn Văn Mỹ</t>
  </si>
  <si>
    <t>Nguyễn Ngọc Ân</t>
  </si>
  <si>
    <t>11A5</t>
  </si>
  <si>
    <t>Ngô Nhân Hòa</t>
  </si>
  <si>
    <t>12A4</t>
  </si>
  <si>
    <t>Hồ Sỹ Kiên</t>
  </si>
  <si>
    <t>11A3</t>
  </si>
  <si>
    <t>H'Him Buôn Krông</t>
  </si>
  <si>
    <t>Nguyễn Đình Hoàng</t>
  </si>
  <si>
    <t>Bùi Thị Hoài Nam</t>
  </si>
  <si>
    <t>Hoàng Tuấn Anh</t>
  </si>
  <si>
    <t>Nguyễn Thị Kim Hà</t>
  </si>
  <si>
    <t>10A3</t>
  </si>
  <si>
    <t>Nguyễn Thị Minh Tâm</t>
  </si>
  <si>
    <t>Lê Ngọc Kim Vy</t>
  </si>
  <si>
    <t>Đậu Thị Hiền</t>
  </si>
  <si>
    <t>Nguyễn Thị Mai</t>
  </si>
  <si>
    <t>Hoàng Thị Thiện</t>
  </si>
  <si>
    <t>Phan Thị Hiền</t>
  </si>
  <si>
    <t>Hoàng Minh Khanh</t>
  </si>
  <si>
    <t>Bùi Thị Thùy Dương</t>
  </si>
  <si>
    <t>Trần Thị Nhung</t>
  </si>
  <si>
    <t>Trương Anh Thùy</t>
  </si>
  <si>
    <t>Trần Thị Minh Hà</t>
  </si>
  <si>
    <t>Y Juin Ktla</t>
  </si>
  <si>
    <t>Trần Thị Hồng</t>
  </si>
  <si>
    <t>Nguyễn Thị Thúy Hằng</t>
  </si>
  <si>
    <t>Trần Thị Mỹ Trang</t>
  </si>
  <si>
    <t>Phan Thanh Sơn</t>
  </si>
  <si>
    <t>TD-QP</t>
  </si>
  <si>
    <t>Thân Thúc Huy Phương</t>
  </si>
  <si>
    <t>Lâm Thị Ngọc Lan</t>
  </si>
  <si>
    <t>Võ Nguyên Tiến</t>
  </si>
  <si>
    <t>Bảo vệ</t>
  </si>
  <si>
    <t>Ngô Phương Thủy</t>
  </si>
  <si>
    <t>Thủ quỹ</t>
  </si>
  <si>
    <t>Thư viện</t>
  </si>
  <si>
    <t>12A5</t>
  </si>
  <si>
    <t>Nguyễn Thị Bích Thảo</t>
  </si>
  <si>
    <t xml:space="preserve">Tuần </t>
  </si>
  <si>
    <t xml:space="preserve">Từ </t>
  </si>
  <si>
    <t>Chọn Tổ chuyên môn -&gt;</t>
  </si>
  <si>
    <t>Lý</t>
  </si>
  <si>
    <t>Sinh</t>
  </si>
  <si>
    <t xml:space="preserve">Văn </t>
  </si>
  <si>
    <t xml:space="preserve">Sử </t>
  </si>
  <si>
    <t>Anh</t>
  </si>
  <si>
    <t>HỌC KÌ 1</t>
  </si>
  <si>
    <t>Tổng</t>
  </si>
  <si>
    <t>HỌC KÌ 2</t>
  </si>
  <si>
    <t>Văn</t>
  </si>
  <si>
    <t>Sử</t>
  </si>
  <si>
    <t>Thứ</t>
  </si>
  <si>
    <t>V8</t>
  </si>
  <si>
    <t>A2</t>
  </si>
  <si>
    <t>THỪA</t>
  </si>
  <si>
    <t>DẠY</t>
  </si>
  <si>
    <t>NĂM HỌC</t>
  </si>
  <si>
    <t>Y tế</t>
  </si>
  <si>
    <t>Phạm Văn Thọ</t>
  </si>
  <si>
    <t>10A6</t>
  </si>
  <si>
    <t>10A7</t>
  </si>
  <si>
    <t>10A8</t>
  </si>
  <si>
    <t>10A9</t>
  </si>
  <si>
    <t>10A10</t>
  </si>
  <si>
    <t>11A6</t>
  </si>
  <si>
    <t>11A7</t>
  </si>
  <si>
    <t>11A8</t>
  </si>
  <si>
    <t>11A9</t>
  </si>
  <si>
    <t>Nguyễn Đình Mỹ Giang</t>
  </si>
  <si>
    <t>Lê Thị Đức Hạnh</t>
  </si>
  <si>
    <t>Hc3</t>
  </si>
  <si>
    <t>Hc4</t>
  </si>
  <si>
    <t>Hc5</t>
  </si>
  <si>
    <t>Hc6</t>
  </si>
  <si>
    <t>Hc7</t>
  </si>
  <si>
    <t>Phục vụ</t>
  </si>
  <si>
    <t>12A6</t>
  </si>
  <si>
    <t>12A7</t>
  </si>
  <si>
    <t>12A8</t>
  </si>
  <si>
    <t>PBTĐ</t>
  </si>
  <si>
    <t>TPCM</t>
  </si>
  <si>
    <t>LĐ</t>
  </si>
  <si>
    <t>12A9</t>
  </si>
  <si>
    <t>D5</t>
  </si>
  <si>
    <t>HỌC KÌ</t>
  </si>
  <si>
    <t>Mã GV</t>
  </si>
  <si>
    <t>Họ và  tên</t>
  </si>
  <si>
    <t>Chức vụ</t>
  </si>
  <si>
    <t>Chủ nhiệm lớp</t>
  </si>
  <si>
    <t>Thiết bị</t>
  </si>
  <si>
    <t>Hc9</t>
  </si>
  <si>
    <t>Nguyễn Huy Cường</t>
  </si>
  <si>
    <t>HT</t>
  </si>
  <si>
    <t>Thân Thị Minh Phương</t>
  </si>
  <si>
    <t>H' Him Buôn Krông</t>
  </si>
  <si>
    <t>Cao Thị Kim Yến</t>
  </si>
  <si>
    <t>Phòng học</t>
  </si>
  <si>
    <t>Địa lí</t>
  </si>
  <si>
    <t>PBM</t>
  </si>
  <si>
    <t>Tn4</t>
  </si>
  <si>
    <t>Nguyễn Quốc Dũng</t>
  </si>
  <si>
    <t>30</t>
  </si>
  <si>
    <t>Cầu thang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</si>
  <si>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</si>
  <si>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</si>
  <si>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</si>
  <si>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</si>
  <si>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</si>
  <si>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</si>
  <si>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</si>
  <si>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</si>
  <si>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</si>
  <si>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</si>
  <si>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</si>
  <si>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</si>
  <si>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</si>
  <si>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</si>
  <si>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</si>
  <si>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</si>
  <si>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</si>
  <si>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</si>
  <si>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</si>
  <si>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</si>
  <si>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</si>
  <si>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</si>
  <si>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</si>
  <si>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</si>
  <si>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</si>
  <si>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</si>
  <si>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</si>
  <si>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</si>
  <si>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</si>
  <si>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</si>
  <si>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</si>
  <si>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</si>
  <si>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</si>
  <si>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</si>
  <si>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</si>
  <si>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</si>
  <si>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KHO</t>
  </si>
  <si>
    <t>QPAN</t>
  </si>
  <si>
    <t>Kho TB</t>
  </si>
  <si>
    <t>HIỆU TRƯỞNG</t>
  </si>
  <si>
    <t>P.HIỆU TRƯỜNG</t>
  </si>
  <si>
    <t>KẾ TOÁN</t>
  </si>
  <si>
    <t>VĂN THƯ</t>
  </si>
  <si>
    <t>Y TẾ</t>
  </si>
  <si>
    <t>VP ĐOÀN TN</t>
  </si>
  <si>
    <t>WC</t>
  </si>
  <si>
    <t>BẢO VỆ</t>
  </si>
  <si>
    <t>NHÀ XE CBGV-NV</t>
  </si>
  <si>
    <t>NHÀ XE HỌC SINH</t>
  </si>
  <si>
    <t>NHÀ
ĐA NĂNG</t>
  </si>
  <si>
    <t>CỔNG PHỤ</t>
  </si>
  <si>
    <t>CĂN
TIN</t>
  </si>
  <si>
    <t>WC
NAM</t>
  </si>
  <si>
    <t>ĐIỆN</t>
  </si>
  <si>
    <t>TIN HỌC 2</t>
  </si>
  <si>
    <t>TIN HỌC 3</t>
  </si>
  <si>
    <t>THPT HUỲNH THÚC KHÁNG</t>
  </si>
  <si>
    <t>VP
ĐẢNG BỘ</t>
  </si>
  <si>
    <t>x</t>
  </si>
  <si>
    <t>tiết</t>
  </si>
  <si>
    <t>Lớp</t>
  </si>
  <si>
    <t>7h00'-7h45'</t>
  </si>
  <si>
    <t xml:space="preserve">HIỆU TRƯỞNG </t>
  </si>
  <si>
    <t>7h45'-8h30'</t>
  </si>
  <si>
    <t xml:space="preserve"> HIỆU TRƯỞNG </t>
  </si>
  <si>
    <t>11A10</t>
  </si>
  <si>
    <t>Hóa - Sinh</t>
  </si>
  <si>
    <t>TD-QPAN</t>
  </si>
  <si>
    <t>Ngoại ngữ</t>
  </si>
  <si>
    <t>TN-HN</t>
  </si>
  <si>
    <t>TNHN</t>
  </si>
  <si>
    <t>GDĐP</t>
  </si>
  <si>
    <t>KT-PL</t>
  </si>
  <si>
    <t>CỘT KIỂM TRA THƯỜNG XUYÊN</t>
  </si>
  <si>
    <t>Nhạc</t>
  </si>
  <si>
    <t>Mỹ thuật</t>
  </si>
  <si>
    <t>Tổ CM</t>
  </si>
  <si>
    <t>Kỳ 1</t>
  </si>
  <si>
    <t>Kỳ 2</t>
  </si>
  <si>
    <t xml:space="preserve">Tổ </t>
  </si>
  <si>
    <t>Toán - tin</t>
  </si>
  <si>
    <t>KT&amp;PL</t>
  </si>
  <si>
    <t>Tiết bộ môn</t>
  </si>
  <si>
    <t>CN công</t>
  </si>
  <si>
    <t>TN-HN/K1</t>
  </si>
  <si>
    <t>CỘNG</t>
  </si>
  <si>
    <t>CNc</t>
  </si>
  <si>
    <t>CN nông</t>
  </si>
  <si>
    <t>DV</t>
  </si>
  <si>
    <t>Giới</t>
  </si>
  <si>
    <t>DT</t>
  </si>
  <si>
    <t>CỘNG HÒA XÃ HỘI CHỦ NGHĨA VIỆT NAM
Độc lập - Tự do - Hạnh phúc</t>
  </si>
  <si>
    <t>DANH SÁCH CÁN BỘ GIÁO VIÊN VÀ NHÂN VIÊN</t>
  </si>
  <si>
    <r>
      <rPr>
        <sz val="11"/>
        <rFont val="Times New Roman"/>
        <family val="1"/>
      </rPr>
      <t>SỞ GIÁO DỤC VÀ ĐÀO TẠO ĐẮK LẮK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THPT HUỲNH THÚC KHÁNG</t>
    </r>
  </si>
  <si>
    <t>K.N2</t>
  </si>
  <si>
    <t>Sử - KTPL</t>
  </si>
  <si>
    <r>
      <t xml:space="preserve">SỞ GIÁO DỤC VÀ ĐÀO TẠO ĐẮK LẮK
</t>
    </r>
    <r>
      <rPr>
        <b/>
        <sz val="9"/>
        <rFont val="Times New Roman"/>
        <family val="1"/>
      </rPr>
      <t>TRƯỜNG THPT HUYNH THUC KHÁNG</t>
    </r>
  </si>
  <si>
    <t>HỒ
BƠI</t>
  </si>
  <si>
    <t>KHTN</t>
  </si>
  <si>
    <t>KHXH</t>
  </si>
  <si>
    <t>Trần Văn Nga</t>
  </si>
  <si>
    <t>Nguyễn Thị Quyên</t>
  </si>
  <si>
    <t>THỐNG KÊ TIẾT / TỔ CHUYÊN MÔN / HỌC KÌ /NĂM</t>
  </si>
  <si>
    <t>THỐNG KÊ TIẾT/MÔN/LỚP - SỐ BÀI KIỂM TRA THƯỜNG XUYÊN</t>
  </si>
  <si>
    <t>8h45'-9h30'</t>
  </si>
  <si>
    <t>9h30'-10h15'</t>
  </si>
  <si>
    <t>10h20'-11h5'</t>
  </si>
  <si>
    <t>13h45'-14h30'</t>
  </si>
  <si>
    <t>14h30'-15h15'</t>
  </si>
  <si>
    <t>15h30'-16h15'</t>
  </si>
  <si>
    <t>16h15'-17h00'</t>
  </si>
  <si>
    <t>PHÒNG TRUYỀN THỐNG</t>
  </si>
  <si>
    <t>THƯ
VIỆN</t>
  </si>
  <si>
    <t>PHÒNG
HỘI
ĐỒNG</t>
  </si>
  <si>
    <t>GYM</t>
  </si>
  <si>
    <t>THỰC HÀNH HÓA</t>
  </si>
  <si>
    <t>THỰC HÀNH SINH</t>
  </si>
  <si>
    <t>THỰC HÀNH
LÝ</t>
  </si>
  <si>
    <t>Đường chạy điền kinh</t>
  </si>
  <si>
    <t>NHÀ CÔNG VỤ</t>
  </si>
  <si>
    <t>WC NỮ</t>
  </si>
  <si>
    <t>Phòng bóng bàn</t>
  </si>
  <si>
    <t>Mã</t>
  </si>
  <si>
    <t>Môn</t>
  </si>
  <si>
    <t>Lý-CNc</t>
  </si>
  <si>
    <t>Tiếng Anh</t>
  </si>
  <si>
    <t>TVTL</t>
  </si>
  <si>
    <t>Giáo vụ</t>
  </si>
  <si>
    <t>TN-HN/K2</t>
  </si>
  <si>
    <t>4(5)</t>
  </si>
  <si>
    <t>3(4)</t>
  </si>
  <si>
    <t>Trệt</t>
  </si>
  <si>
    <t>Hai</t>
  </si>
  <si>
    <t>Ba</t>
  </si>
  <si>
    <t>GIÁO VỤ</t>
  </si>
  <si>
    <t>Hố nhảy xa</t>
  </si>
  <si>
    <t>K12</t>
  </si>
  <si>
    <t>K10</t>
  </si>
  <si>
    <t>K11</t>
  </si>
  <si>
    <t>Tiết TB/GV</t>
  </si>
  <si>
    <t>K1</t>
  </si>
  <si>
    <t>K2</t>
  </si>
  <si>
    <t xml:space="preserve">CN </t>
  </si>
  <si>
    <t>Giáo dục địa phương</t>
  </si>
  <si>
    <t>TIẾP DÂN
TƯ VẤN</t>
  </si>
  <si>
    <t>THỐNG KÊ THỰC TRẠNG SỐ TIẾT THEO BỘ MÔN</t>
  </si>
  <si>
    <t>3. Số tiết chủ nhiệm, dạy HĐTNHN</t>
  </si>
  <si>
    <t>Tổng tiết tiêu chuẩn của giáo viên</t>
  </si>
  <si>
    <t>II. TỔ NGỮ VĂN</t>
  </si>
  <si>
    <t>Tiết chênh lệch trong năm</t>
  </si>
  <si>
    <t>V. MÔN SINH - CÔNG NGHỆ</t>
  </si>
  <si>
    <t>IV. MÔN HÓA HỌC</t>
  </si>
  <si>
    <t>VI. MÔN LỊCH SỬ</t>
  </si>
  <si>
    <t>VII. MÔN GDCD-KT&amp;PL</t>
  </si>
  <si>
    <t>VIII. MÔN ĐỊA LÍ</t>
  </si>
  <si>
    <t>VI. MÔN NGOẠI NGỮ</t>
  </si>
  <si>
    <t>1. Số tiết dạy môn Tiếng anh trong năm:</t>
  </si>
  <si>
    <t>VIII. MÔN GDTC-QPAN</t>
  </si>
  <si>
    <t>Trung bình tiết thừa/tuần/năm</t>
  </si>
  <si>
    <t>Trung bình tiết thừa/tuần/HK2</t>
  </si>
  <si>
    <t>I. MÔN TOÁN TIN</t>
  </si>
  <si>
    <t>III. MÔN VẬT LÝ - CÔNG NGHỆ</t>
  </si>
  <si>
    <r>
      <t xml:space="preserve">1. Số tiết dạy môn </t>
    </r>
    <r>
      <rPr>
        <b/>
        <sz val="11"/>
        <color rgb="FFFF0000"/>
        <rFont val="Times New Roman"/>
        <family val="1"/>
      </rPr>
      <t>Toán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</si>
  <si>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môn </t>
    </r>
    <r>
      <rPr>
        <b/>
        <sz val="11"/>
        <color rgb="FFFF0000"/>
        <rFont val="Times New Roman"/>
        <family val="1"/>
      </rPr>
      <t>Tin học</t>
    </r>
    <r>
      <rPr>
        <sz val="11"/>
        <color rgb="FFFF0000"/>
        <rFont val="Times New Roman"/>
        <family val="1"/>
      </rPr>
      <t xml:space="preserve"> 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</si>
  <si>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Ngữ văn</t>
    </r>
    <r>
      <rPr>
        <sz val="11"/>
        <color rgb="FF000099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</si>
  <si>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000099"/>
        <rFont val="Times New Roman"/>
        <family val="1"/>
      </rPr>
      <t xml:space="preserve">GDĐP </t>
    </r>
    <r>
      <rPr>
        <sz val="11"/>
        <color rgb="FF000099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</si>
  <si>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Vật lý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</si>
  <si>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Công nghệ CN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</si>
  <si>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Hóa học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</si>
  <si>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Sinh học</t>
    </r>
    <r>
      <rPr>
        <sz val="11"/>
        <color rgb="FFFF0000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</si>
  <si>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GDĐP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</si>
  <si>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Lịch sử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</si>
  <si>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Địa lí </t>
    </r>
    <r>
      <rPr>
        <sz val="11"/>
        <color rgb="FFFF0000"/>
        <rFont val="Times New Roman"/>
        <family val="1"/>
      </rPr>
      <t>trong năm học: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</si>
  <si>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GDTC </t>
    </r>
    <r>
      <rPr>
        <sz val="11"/>
        <color rgb="FFFF0000"/>
        <rFont val="Times New Roman"/>
        <family val="1"/>
      </rPr>
      <t>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</si>
  <si>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QPAN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</si>
  <si>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GDCD-KTPL</t>
    </r>
    <r>
      <rPr>
        <sz val="11"/>
        <color rgb="FF000099"/>
        <rFont val="Times New Roman"/>
        <family val="1"/>
      </rPr>
      <t xml:space="preserve"> trong năm:</t>
    </r>
  </si>
  <si>
    <t>Hà Huy Thục</t>
  </si>
  <si>
    <t>Nông Thị Mai</t>
  </si>
  <si>
    <t>∑</t>
  </si>
  <si>
    <t>Chủ nhiệm kỳ 1</t>
  </si>
  <si>
    <t>Chủ nhiệm kỳ 2</t>
  </si>
  <si>
    <t>Số lớp</t>
  </si>
  <si>
    <t>Tiết</t>
  </si>
  <si>
    <t>23-24</t>
  </si>
  <si>
    <t>24-25</t>
  </si>
  <si>
    <t>Q3</t>
  </si>
  <si>
    <t>G3</t>
  </si>
  <si>
    <t>SÂN BÓNG CHUYỀN</t>
  </si>
  <si>
    <t>SÂN BÓNG RỔ</t>
  </si>
  <si>
    <t> 1</t>
  </si>
  <si>
    <t> 0</t>
  </si>
  <si>
    <t>0 </t>
  </si>
  <si>
    <t>1 </t>
  </si>
  <si>
    <t>Thừa giờ</t>
  </si>
  <si>
    <t>TPCM.</t>
  </si>
  <si>
    <t>SÂN BÓNG ĐÁ</t>
  </si>
  <si>
    <t>Vật lí, Hóa học, Sinh học, Tin học</t>
  </si>
  <si>
    <t>Vật lí, Hóa học, Sinh học, CNCN</t>
  </si>
  <si>
    <t>Hóa, KT&amp;PL, Tin, CNCN</t>
  </si>
  <si>
    <t>Vật lí, Địa lí, Tin học, CNCN</t>
  </si>
  <si>
    <t>Vật lí, Địa lí, KT&amp;PL, Tin học</t>
  </si>
  <si>
    <t>Vật lí, Địa lí, KT&amp;PL, CNCN</t>
  </si>
  <si>
    <t>Toán, Hóa, Sinh</t>
  </si>
  <si>
    <t>Văn, Toán, Hóa</t>
  </si>
  <si>
    <t>Toán, Lý, Địa</t>
  </si>
  <si>
    <t>Toán, Sử, Địa</t>
  </si>
  <si>
    <t>Môn học tự chọn</t>
  </si>
  <si>
    <t>Chuyên đề học tập</t>
  </si>
  <si>
    <t>STT</t>
  </si>
  <si>
    <t>Lê Thị Thu Thảo</t>
  </si>
  <si>
    <t>Hc10</t>
  </si>
  <si>
    <t>Hc11</t>
  </si>
  <si>
    <t>Nguyễn Thị Hoàng Uyên</t>
  </si>
  <si>
    <t>Y Tuyl Niê</t>
  </si>
  <si>
    <t>GVHĐ</t>
  </si>
  <si>
    <t>Bùi Tuấn Đạt</t>
  </si>
  <si>
    <t>Văn thư</t>
  </si>
  <si>
    <t xml:space="preserve">LỊCH SỬ </t>
  </si>
  <si>
    <t>GDKT&amp;PL</t>
  </si>
  <si>
    <t>Phònghọc</t>
  </si>
  <si>
    <t>Thờigian</t>
  </si>
  <si>
    <t>Họvàtên</t>
  </si>
  <si>
    <t>Tiếnganh</t>
  </si>
  <si>
    <t xml:space="preserve">12A6 </t>
  </si>
  <si>
    <t>BUỔI CHIỀU</t>
  </si>
  <si>
    <t>Thể dục</t>
  </si>
  <si>
    <t>H' Sơrry Êban</t>
  </si>
  <si>
    <t>Lịch sử</t>
  </si>
  <si>
    <t>Nguyễn minh Châu</t>
  </si>
  <si>
    <t>Tiếng anh</t>
  </si>
  <si>
    <t>Sinh - CNn</t>
  </si>
  <si>
    <t>Tin học</t>
  </si>
  <si>
    <t>Shdc</t>
  </si>
  <si>
    <t xml:space="preserve"> </t>
  </si>
  <si>
    <t>BUỔI SÁNG</t>
  </si>
  <si>
    <t>Phạm Thị Như Ngà</t>
  </si>
  <si>
    <t>Thân Thị Minh Phương</t>
  </si>
  <si>
    <t>25-26</t>
  </si>
  <si>
    <t>12A10</t>
  </si>
  <si>
    <t>DANH SÁCH PHÂN CÔNG GIÁO VIÊN CHỦ NHIỆM NĂM HỌC 2025-2026</t>
  </si>
  <si>
    <t>Toán, Hóa, Địa</t>
  </si>
  <si>
    <t>Vật lí, Hóa học, Địa lí, CnNN</t>
  </si>
  <si>
    <t>Vật lí, Địa lí, Tin học, CnCN</t>
  </si>
  <si>
    <t>Hóa, KT&amp;PL, Tin, CnCN</t>
  </si>
  <si>
    <t>Vật lí, Hóa học, Sinh học, CnCN</t>
  </si>
  <si>
    <t>Bùi Thị Thùy Dương</t>
  </si>
  <si>
    <t>Hoàng Minh Khanh</t>
  </si>
  <si>
    <t>Nguyễn Thị Quỳnh Uyên</t>
  </si>
  <si>
    <t>Nguyễn Thể Bình Viên</t>
  </si>
  <si>
    <t>Toán-tin</t>
  </si>
  <si>
    <t>Lý - CN</t>
  </si>
  <si>
    <t>Hóa</t>
  </si>
  <si>
    <t>Ngữ văn</t>
  </si>
  <si>
    <t>Hồ Sỹ Kiên</t>
  </si>
  <si>
    <t>Lịch sử</t>
  </si>
  <si>
    <t>Thể dục</t>
  </si>
  <si>
    <t>Nguyễn Hồ Như Quỳnh</t>
  </si>
  <si>
    <t>(kèm theo Quyết định số     /QĐ-HTK ngày   /  /2025)</t>
  </si>
  <si>
    <t>THỜI KHÓA BIỂU - NĂM HỌC 2025-2026</t>
  </si>
  <si>
    <t>Lâm Thị Ngọc Lan</t>
  </si>
  <si>
    <t>Vật lí, Địa lí, KT&amp;PL, CnCN</t>
  </si>
  <si>
    <t>I</t>
  </si>
  <si>
    <t>2025-2026</t>
  </si>
  <si>
    <t>05/09/2025</t>
  </si>
  <si>
    <t>Sg4</t>
  </si>
  <si>
    <t>SƠ ĐỒ TRƯỜNG THPT HUỲNH THÚC KHÁNG NĂM HỌC 2025-2026</t>
  </si>
  <si>
    <t>19-20</t>
  </si>
  <si>
    <t>LAB NGOẠI NGỮ</t>
  </si>
  <si>
    <t>TƯỢNG ĐÀI
CHÍ SĨ HUỲNH THÚC KHÁNG</t>
  </si>
  <si>
    <t>NGOẠI NGỮ</t>
  </si>
  <si>
    <t>THƯ KÝ HỘI ĐỒNG</t>
  </si>
  <si>
    <t>Trịnh Thị Diệu Huyền</t>
  </si>
  <si>
    <t>10A8 (Từ tuần 24)</t>
  </si>
  <si>
    <t>19A1</t>
  </si>
  <si>
    <t>12a9</t>
  </si>
  <si>
    <t>12a10</t>
  </si>
  <si>
    <t>Nguyễn Hồ Như Quỳnh</t>
  </si>
  <si>
    <r>
      <rPr>
        <i/>
        <sz val="8"/>
        <color rgb="FFFF0000"/>
        <rFont val="Times New Roman"/>
        <family val="1"/>
      </rPr>
      <t>Nguyễn</t>
    </r>
    <r>
      <rPr>
        <i/>
        <sz val="8"/>
        <color rgb="FF000099"/>
        <rFont val="Times New Roman"/>
        <family val="1"/>
      </rPr>
      <t xml:space="preserve"> </t>
    </r>
    <r>
      <rPr>
        <i/>
        <sz val="8"/>
        <color rgb="FFFF0000"/>
        <rFont val="Times New Roman"/>
        <family val="1"/>
      </rPr>
      <t>Hà Nhị</t>
    </r>
  </si>
  <si>
    <t>Áp dụng từ tuần học thứ 01, ngày 05/09/2025</t>
  </si>
  <si>
    <t>Khối 10, 12 dạy HĐTN vào sáng thứ 7 các tuần 2,4,6, …</t>
  </si>
  <si>
    <t>QP&amp;AN</t>
  </si>
  <si>
    <t>TIN HỌC 1</t>
  </si>
  <si>
    <t>Giáo dục địa phương khối 10, 12 bộ môn Văn; giáo dục địa phương khối 11 môn Sử dạy</t>
  </si>
  <si>
    <t>Áp dụng từ tuần học thứ 4, ngày 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</si>
</sst>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2" x14ac:knownFonts="1">
    <font>
      <sz val="12"/>
      <name val="Times New Roman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.5"/>
      <color indexed="55"/>
      <name val="Times New Roman"/>
      <family val="1"/>
    </font>
    <font>
      <b/>
      <sz val="8"/>
      <color indexed="1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8"/>
      <color indexed="12"/>
      <name val="Times New Roman"/>
      <family val="1"/>
    </font>
    <font>
      <b/>
      <sz val="6"/>
      <name val="Times New Roman"/>
      <family val="1"/>
    </font>
    <font>
      <b/>
      <sz val="6"/>
      <color indexed="10"/>
      <name val="Times New Roman"/>
      <family val="1"/>
    </font>
    <font>
      <sz val="6"/>
      <color indexed="10"/>
      <name val="Times New Roman"/>
      <family val="1"/>
    </font>
    <font>
      <b/>
      <sz val="7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name val="Arial"/>
      <family val="2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sz val="10"/>
      <name val="Arial"/>
      <family val="2"/>
    </font>
    <font>
      <b/>
      <sz val="8"/>
      <color indexed="9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  <font>
      <b/>
      <sz val="7"/>
      <color indexed="18"/>
      <name val="Times New Roman"/>
      <family val="1"/>
    </font>
    <font>
      <b/>
      <sz val="14"/>
      <color indexed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56"/>
      <name val="Times New Roman"/>
      <family val="1"/>
    </font>
    <font>
      <b/>
      <sz val="18"/>
      <color indexed="56"/>
      <name val="Cambria"/>
      <family val="1"/>
    </font>
    <font>
      <i/>
      <sz val="12"/>
      <color indexed="23"/>
      <name val="Times New Roman"/>
      <family val="1"/>
    </font>
    <font>
      <sz val="12"/>
      <color indexed="52"/>
      <name val="Times New Roman"/>
      <family val="1"/>
    </font>
    <font>
      <sz val="12"/>
      <color indexed="17"/>
      <name val="Times New Roman"/>
      <family val="1"/>
    </font>
    <font>
      <b/>
      <sz val="12"/>
      <color indexed="8"/>
      <name val="Times New Roman"/>
      <family val="1"/>
    </font>
    <font>
      <sz val="12"/>
      <color indexed="60"/>
      <name val="Times New Roman"/>
      <family val="1"/>
    </font>
    <font>
      <b/>
      <sz val="12"/>
      <color indexed="52"/>
      <name val="Times New Roman"/>
      <family val="1"/>
    </font>
    <font>
      <b/>
      <sz val="13"/>
      <color indexed="56"/>
      <name val="Times New Roman"/>
      <family val="1"/>
    </font>
    <font>
      <sz val="12"/>
      <color indexed="20"/>
      <name val="Times New Roman"/>
      <family val="1"/>
    </font>
    <font>
      <b/>
      <sz val="15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indexed="8"/>
      <name val="Calibri"/>
      <family val="2"/>
    </font>
    <font>
      <b/>
      <sz val="12"/>
      <color indexed="63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sz val="12"/>
      <color rgb="FF006100"/>
      <name val="Times New Roman"/>
      <family val="1"/>
    </font>
    <font>
      <b/>
      <sz val="15"/>
      <color rgb="FF1F4A7E"/>
      <name val="Times New Roman"/>
      <family val="1"/>
    </font>
    <font>
      <b/>
      <sz val="13"/>
      <color rgb="FF1F4A7E"/>
      <name val="Times New Roman"/>
      <family val="1"/>
    </font>
    <font>
      <b/>
      <sz val="11"/>
      <color rgb="FF1F4A7E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3F3F3F"/>
      <name val="Times New Roman"/>
      <family val="1"/>
    </font>
    <font>
      <b/>
      <sz val="18"/>
      <color rgb="FF1F4A7E"/>
      <name val="Cambria"/>
      <family val="1"/>
    </font>
    <font>
      <sz val="8"/>
      <color rgb="FFFF0000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FF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rgb="FF002060"/>
      <name val="Times New Roman"/>
      <family val="1"/>
    </font>
    <font>
      <b/>
      <sz val="8"/>
      <color theme="1"/>
      <name val="Times New Roman"/>
      <family val="1"/>
    </font>
    <font>
      <i/>
      <sz val="8"/>
      <color rgb="FF000099"/>
      <name val="Times New Roman"/>
      <family val="1"/>
    </font>
    <font>
      <b/>
      <sz val="2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10"/>
      <color rgb="FF000099"/>
      <name val="Times New Roman"/>
      <family val="1"/>
    </font>
    <font>
      <b/>
      <sz val="8"/>
      <color rgb="FFFF0000"/>
      <name val="Times New Roman"/>
      <family val="1"/>
      <charset val="163"/>
    </font>
    <font>
      <sz val="8"/>
      <color rgb="FF00009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8"/>
      <color rgb="FF7030A0"/>
      <name val="Times New Roman"/>
      <family val="1"/>
    </font>
    <font>
      <i/>
      <sz val="12"/>
      <color rgb="FFFFFF00"/>
      <name val="Times New Roman"/>
      <family val="1"/>
    </font>
    <font>
      <i/>
      <sz val="8"/>
      <name val="Times New Roman"/>
      <family val="1"/>
    </font>
    <font>
      <b/>
      <sz val="14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rgb="FFFFFF00"/>
      <name val="Times New Roman"/>
      <family val="1"/>
    </font>
    <font>
      <sz val="8"/>
      <name val="MS Sans Serif"/>
      <family val="2"/>
    </font>
    <font>
      <b/>
      <sz val="9"/>
      <color rgb="FFFF0000"/>
      <name val="Times New Roman"/>
      <family val="1"/>
    </font>
    <font>
      <b/>
      <i/>
      <sz val="9"/>
      <color rgb="FF000099"/>
      <name val="Times New Roman"/>
      <family val="1"/>
    </font>
    <font>
      <b/>
      <i/>
      <sz val="8"/>
      <color rgb="FFC00000"/>
      <name val="Times New Roman"/>
      <family val="1"/>
    </font>
    <font>
      <i/>
      <sz val="12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0"/>
      <color rgb="FFFFFF00"/>
      <name val="Times New Roman"/>
      <family val="1"/>
    </font>
    <font>
      <b/>
      <sz val="8"/>
      <color rgb="FF0070C0"/>
      <name val="Times New Roman"/>
      <family val="1"/>
    </font>
    <font>
      <b/>
      <sz val="10"/>
      <color theme="9" tint="-0.249977111117893"/>
      <name val="Times New Roman"/>
      <family val="1"/>
    </font>
    <font>
      <sz val="13.5"/>
      <name val="Times New Roman"/>
      <family val="1"/>
    </font>
    <font>
      <b/>
      <sz val="13.5"/>
      <name val="Times New Roman"/>
      <family val="1"/>
    </font>
    <font>
      <sz val="8"/>
      <color rgb="FFC00000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i/>
      <sz val="12"/>
      <color rgb="FF000099"/>
      <name val="Times New Roman"/>
      <family val="1"/>
    </font>
    <font>
      <b/>
      <sz val="10"/>
      <color theme="0"/>
      <name val="Times New Roman"/>
      <family val="1"/>
    </font>
    <font>
      <b/>
      <sz val="13"/>
      <color rgb="FFFF0000"/>
      <name val="Times New Roman"/>
      <family val="1"/>
    </font>
    <font>
      <b/>
      <sz val="7"/>
      <color rgb="FF000099"/>
      <name val="Times New Roman"/>
      <family val="1"/>
    </font>
    <font>
      <sz val="12"/>
      <color rgb="FFFF0000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sz val="12"/>
      <color rgb="FF00009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8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6"/>
      <color rgb="FF000000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double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tted">
        <color rgb="FF000000"/>
      </bottom>
      <diagonal/>
    </border>
    <border>
      <left/>
      <right style="double">
        <color indexed="64"/>
      </right>
      <top/>
      <bottom/>
      <diagonal/>
    </border>
  </borders>
  <cellStyleXfs count="151">
    <xf numFmtId="0" fontId="0" fillId="0" borderId="0"/>
    <xf numFmtId="0" fontId="38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38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38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8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48" borderId="0" applyNumberFormat="0" applyBorder="0" applyAlignment="0" applyProtection="0"/>
    <xf numFmtId="0" fontId="38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49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0" borderId="0" applyNumberFormat="0" applyBorder="0" applyAlignment="0" applyProtection="0"/>
    <xf numFmtId="0" fontId="38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51" borderId="0" applyNumberFormat="0" applyBorder="0" applyAlignment="0" applyProtection="0"/>
    <xf numFmtId="0" fontId="38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52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3" borderId="0" applyNumberFormat="0" applyBorder="0" applyAlignment="0" applyProtection="0"/>
    <xf numFmtId="0" fontId="38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54" borderId="0" applyNumberFormat="0" applyBorder="0" applyAlignment="0" applyProtection="0"/>
    <xf numFmtId="0" fontId="39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55" borderId="0" applyNumberFormat="0" applyBorder="0" applyAlignment="0" applyProtection="0"/>
    <xf numFmtId="0" fontId="39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56" borderId="0" applyNumberFormat="0" applyBorder="0" applyAlignment="0" applyProtection="0"/>
    <xf numFmtId="0" fontId="39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57" borderId="0" applyNumberFormat="0" applyBorder="0" applyAlignment="0" applyProtection="0"/>
    <xf numFmtId="0" fontId="39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39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58" borderId="0" applyNumberFormat="0" applyBorder="0" applyAlignment="0" applyProtection="0"/>
    <xf numFmtId="0" fontId="39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59" borderId="0" applyNumberFormat="0" applyBorder="0" applyAlignment="0" applyProtection="0"/>
    <xf numFmtId="0" fontId="39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6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61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62" borderId="0" applyNumberFormat="0" applyBorder="0" applyAlignment="0" applyProtection="0"/>
    <xf numFmtId="0" fontId="39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63" borderId="0" applyNumberFormat="0" applyBorder="0" applyAlignment="0" applyProtection="0"/>
    <xf numFmtId="0" fontId="40" fillId="4" borderId="0" applyNumberFormat="0" applyBorder="0" applyAlignment="0" applyProtection="0"/>
    <xf numFmtId="0" fontId="79" fillId="5" borderId="0" applyNumberFormat="0" applyBorder="0" applyAlignment="0" applyProtection="0"/>
    <xf numFmtId="0" fontId="84" fillId="64" borderId="0" applyNumberFormat="0" applyBorder="0" applyAlignment="0" applyProtection="0"/>
    <xf numFmtId="0" fontId="41" fillId="39" borderId="1" applyNumberFormat="0" applyAlignment="0" applyProtection="0"/>
    <xf numFmtId="0" fontId="77" fillId="16" borderId="1" applyNumberFormat="0" applyAlignment="0" applyProtection="0"/>
    <xf numFmtId="0" fontId="85" fillId="65" borderId="67" applyNumberFormat="0" applyAlignment="0" applyProtection="0"/>
    <xf numFmtId="0" fontId="72" fillId="0" borderId="0" applyNumberFormat="0" applyFill="0" applyBorder="0" applyAlignment="0" applyProtection="0"/>
    <xf numFmtId="0" fontId="42" fillId="40" borderId="2" applyNumberFormat="0" applyAlignment="0" applyProtection="0"/>
    <xf numFmtId="0" fontId="69" fillId="41" borderId="2" applyNumberFormat="0" applyAlignment="0" applyProtection="0"/>
    <xf numFmtId="0" fontId="69" fillId="66" borderId="68" applyNumberFormat="0" applyAlignment="0" applyProtection="0"/>
    <xf numFmtId="0" fontId="4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74" fillId="7" borderId="0" applyNumberFormat="0" applyBorder="0" applyAlignment="0" applyProtection="0"/>
    <xf numFmtId="0" fontId="86" fillId="67" borderId="0" applyNumberFormat="0" applyBorder="0" applyAlignment="0" applyProtection="0"/>
    <xf numFmtId="0" fontId="45" fillId="0" borderId="3" applyNumberFormat="0" applyFill="0" applyAlignment="0" applyProtection="0"/>
    <xf numFmtId="0" fontId="80" fillId="0" borderId="3" applyNumberFormat="0" applyFill="0" applyAlignment="0" applyProtection="0"/>
    <xf numFmtId="0" fontId="87" fillId="0" borderId="69" applyNumberFormat="0" applyFill="0" applyAlignment="0" applyProtection="0"/>
    <xf numFmtId="0" fontId="46" fillId="0" borderId="4" applyNumberFormat="0" applyFill="0" applyAlignment="0" applyProtection="0"/>
    <xf numFmtId="0" fontId="78" fillId="0" borderId="4" applyNumberFormat="0" applyFill="0" applyAlignment="0" applyProtection="0"/>
    <xf numFmtId="0" fontId="88" fillId="0" borderId="70" applyNumberFormat="0" applyFill="0" applyAlignment="0" applyProtection="0"/>
    <xf numFmtId="0" fontId="47" fillId="0" borderId="5" applyNumberFormat="0" applyFill="0" applyAlignment="0" applyProtection="0"/>
    <xf numFmtId="0" fontId="70" fillId="0" borderId="5" applyNumberFormat="0" applyFill="0" applyAlignment="0" applyProtection="0"/>
    <xf numFmtId="0" fontId="89" fillId="0" borderId="71" applyNumberFormat="0" applyFill="0" applyAlignment="0" applyProtection="0"/>
    <xf numFmtId="0" fontId="4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12" borderId="1" applyNumberFormat="0" applyAlignment="0" applyProtection="0"/>
    <xf numFmtId="0" fontId="81" fillId="13" borderId="1" applyNumberFormat="0" applyAlignment="0" applyProtection="0"/>
    <xf numFmtId="0" fontId="90" fillId="68" borderId="67" applyNumberFormat="0" applyAlignment="0" applyProtection="0"/>
    <xf numFmtId="0" fontId="49" fillId="0" borderId="6" applyNumberFormat="0" applyFill="0" applyAlignment="0" applyProtection="0"/>
    <xf numFmtId="0" fontId="73" fillId="0" borderId="6" applyNumberFormat="0" applyFill="0" applyAlignment="0" applyProtection="0"/>
    <xf numFmtId="0" fontId="91" fillId="0" borderId="72" applyNumberFormat="0" applyFill="0" applyAlignment="0" applyProtection="0"/>
    <xf numFmtId="0" fontId="50" fillId="42" borderId="0" applyNumberFormat="0" applyBorder="0" applyAlignment="0" applyProtection="0"/>
    <xf numFmtId="0" fontId="76" fillId="43" borderId="0" applyNumberFormat="0" applyBorder="0" applyAlignment="0" applyProtection="0"/>
    <xf numFmtId="0" fontId="92" fillId="69" borderId="0" applyNumberFormat="0" applyBorder="0" applyAlignment="0" applyProtection="0"/>
    <xf numFmtId="0" fontId="6" fillId="0" borderId="0"/>
    <xf numFmtId="0" fontId="93" fillId="0" borderId="0"/>
    <xf numFmtId="0" fontId="82" fillId="0" borderId="0"/>
    <xf numFmtId="0" fontId="6" fillId="0" borderId="0"/>
    <xf numFmtId="0" fontId="55" fillId="0" borderId="0"/>
    <xf numFmtId="0" fontId="58" fillId="0" borderId="0"/>
    <xf numFmtId="0" fontId="55" fillId="0" borderId="0"/>
    <xf numFmtId="0" fontId="55" fillId="0" borderId="0"/>
    <xf numFmtId="0" fontId="6" fillId="0" borderId="0"/>
    <xf numFmtId="0" fontId="61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4" borderId="7" applyNumberFormat="0" applyFont="0" applyAlignment="0" applyProtection="0"/>
    <xf numFmtId="0" fontId="6" fillId="44" borderId="7" applyNumberFormat="0" applyFont="0" applyAlignment="0" applyProtection="0"/>
    <xf numFmtId="0" fontId="6" fillId="45" borderId="7" applyNumberFormat="0" applyFont="0" applyAlignment="0" applyProtection="0"/>
    <xf numFmtId="0" fontId="6" fillId="45" borderId="7" applyNumberFormat="0" applyFont="0" applyAlignment="0" applyProtection="0"/>
    <xf numFmtId="0" fontId="6" fillId="70" borderId="73" applyNumberFormat="0" applyFont="0" applyAlignment="0" applyProtection="0"/>
    <xf numFmtId="0" fontId="51" fillId="39" borderId="8" applyNumberFormat="0" applyAlignment="0" applyProtection="0"/>
    <xf numFmtId="0" fontId="83" fillId="16" borderId="8" applyNumberFormat="0" applyAlignment="0" applyProtection="0"/>
    <xf numFmtId="0" fontId="94" fillId="65" borderId="74" applyNumberFormat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75" fillId="0" borderId="9" applyNumberFormat="0" applyFill="0" applyAlignment="0" applyProtection="0"/>
    <xf numFmtId="0" fontId="75" fillId="0" borderId="75" applyNumberFormat="0" applyFill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25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87">
    <xf numFmtId="0" fontId="0" fillId="0" borderId="0" xfId="0"/>
    <xf numFmtId="0" fontId="8" fillId="0" borderId="0" xfId="0" applyFont="1"/>
    <xf numFmtId="0" fontId="10" fillId="43" borderId="10" xfId="0" applyFont="1" applyFill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7" fillId="0" borderId="0" xfId="0" applyFont="1"/>
    <xf numFmtId="0" fontId="0" fillId="7" borderId="0" xfId="0" applyFill="1"/>
    <xf numFmtId="0" fontId="0" fillId="43" borderId="0" xfId="0" applyFill="1"/>
    <xf numFmtId="0" fontId="12" fillId="43" borderId="10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 vertical="top"/>
    </xf>
    <xf numFmtId="0" fontId="18" fillId="13" borderId="10" xfId="0" applyFont="1" applyFill="1" applyBorder="1"/>
    <xf numFmtId="0" fontId="12" fillId="13" borderId="10" xfId="0" applyFont="1" applyFill="1" applyBorder="1" applyAlignment="1">
      <alignment horizontal="center" vertical="justify"/>
    </xf>
    <xf numFmtId="0" fontId="18" fillId="13" borderId="10" xfId="0" applyFont="1" applyFill="1" applyBorder="1" applyAlignment="1">
      <alignment vertical="justify"/>
    </xf>
    <xf numFmtId="0" fontId="18" fillId="13" borderId="10" xfId="0" applyFont="1" applyFill="1" applyBorder="1" applyAlignment="1">
      <alignment horizontal="center" vertical="justify"/>
    </xf>
    <xf numFmtId="0" fontId="18" fillId="43" borderId="10" xfId="0" applyFont="1" applyFill="1" applyBorder="1" applyAlignment="1">
      <alignment horizontal="center" vertical="top"/>
    </xf>
    <xf numFmtId="0" fontId="18" fillId="43" borderId="10" xfId="0" applyFont="1" applyFill="1" applyBorder="1"/>
    <xf numFmtId="0" fontId="12" fillId="7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18" fillId="7" borderId="10" xfId="0" applyFont="1" applyFill="1" applyBorder="1" applyAlignment="1">
      <alignment vertical="justify"/>
    </xf>
    <xf numFmtId="0" fontId="12" fillId="7" borderId="10" xfId="0" applyFont="1" applyFill="1" applyBorder="1" applyAlignment="1">
      <alignment horizontal="center" vertical="justify"/>
    </xf>
    <xf numFmtId="0" fontId="18" fillId="7" borderId="10" xfId="0" applyFont="1" applyFill="1" applyBorder="1" applyAlignment="1">
      <alignment horizontal="center" vertical="justify"/>
    </xf>
    <xf numFmtId="0" fontId="12" fillId="15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 vertical="top"/>
    </xf>
    <xf numFmtId="0" fontId="18" fillId="15" borderId="10" xfId="0" applyFont="1" applyFill="1" applyBorder="1"/>
    <xf numFmtId="0" fontId="12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 vertical="top"/>
    </xf>
    <xf numFmtId="0" fontId="18" fillId="16" borderId="10" xfId="0" applyFont="1" applyFill="1" applyBorder="1"/>
    <xf numFmtId="0" fontId="18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vertical="justify"/>
    </xf>
    <xf numFmtId="0" fontId="12" fillId="0" borderId="0" xfId="0" applyFont="1" applyAlignment="1">
      <alignment horizontal="center"/>
    </xf>
    <xf numFmtId="0" fontId="11" fillId="7" borderId="0" xfId="0" applyFont="1" applyFill="1"/>
    <xf numFmtId="0" fontId="11" fillId="43" borderId="0" xfId="0" applyFont="1" applyFill="1"/>
    <xf numFmtId="0" fontId="9" fillId="0" borderId="0" xfId="0" applyFont="1"/>
    <xf numFmtId="0" fontId="25" fillId="15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27" fillId="0" borderId="0" xfId="0" applyFont="1"/>
    <xf numFmtId="0" fontId="33" fillId="0" borderId="0" xfId="0" applyFont="1"/>
    <xf numFmtId="0" fontId="56" fillId="7" borderId="10" xfId="0" applyFont="1" applyFill="1" applyBorder="1" applyAlignment="1">
      <alignment horizontal="center" vertical="justify"/>
    </xf>
    <xf numFmtId="0" fontId="57" fillId="16" borderId="10" xfId="0" applyFont="1" applyFill="1" applyBorder="1" applyAlignment="1">
      <alignment horizontal="center"/>
    </xf>
    <xf numFmtId="0" fontId="25" fillId="0" borderId="0" xfId="0" applyFont="1"/>
    <xf numFmtId="0" fontId="8" fillId="7" borderId="0" xfId="0" applyFont="1" applyFill="1"/>
    <xf numFmtId="0" fontId="8" fillId="43" borderId="0" xfId="0" applyFont="1" applyFill="1"/>
    <xf numFmtId="0" fontId="21" fillId="0" borderId="0" xfId="0" applyFont="1"/>
    <xf numFmtId="0" fontId="34" fillId="0" borderId="0" xfId="0" applyFont="1"/>
    <xf numFmtId="0" fontId="35" fillId="0" borderId="0" xfId="0" applyFont="1"/>
    <xf numFmtId="0" fontId="10" fillId="43" borderId="12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4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6" fillId="0" borderId="0" xfId="0" applyFont="1"/>
    <xf numFmtId="2" fontId="25" fillId="15" borderId="10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0" fontId="0" fillId="0" borderId="24" xfId="0" applyBorder="1"/>
    <xf numFmtId="0" fontId="18" fillId="0" borderId="24" xfId="0" applyFont="1" applyBorder="1" applyAlignment="1">
      <alignment vertical="center"/>
    </xf>
    <xf numFmtId="0" fontId="99" fillId="0" borderId="0" xfId="0" applyFont="1"/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100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4" fontId="35" fillId="0" borderId="29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1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98" fillId="0" borderId="14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03" fillId="76" borderId="0" xfId="0" applyFont="1" applyFill="1"/>
    <xf numFmtId="0" fontId="97" fillId="75" borderId="33" xfId="0" applyFont="1" applyFill="1" applyBorder="1" applyAlignment="1">
      <alignment horizontal="center" vertical="center"/>
    </xf>
    <xf numFmtId="0" fontId="98" fillId="72" borderId="14" xfId="0" applyFont="1" applyFill="1" applyBorder="1" applyAlignment="1">
      <alignment horizontal="center" vertical="center"/>
    </xf>
    <xf numFmtId="0" fontId="101" fillId="72" borderId="0" xfId="0" applyFont="1" applyFill="1"/>
    <xf numFmtId="0" fontId="98" fillId="72" borderId="12" xfId="0" applyFont="1" applyFill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0" fontId="26" fillId="47" borderId="10" xfId="0" applyFont="1" applyFill="1" applyBorder="1" applyAlignment="1">
      <alignment horizontal="center" vertical="center"/>
    </xf>
    <xf numFmtId="0" fontId="97" fillId="43" borderId="10" xfId="0" applyFont="1" applyFill="1" applyBorder="1" applyAlignment="1">
      <alignment horizontal="center" vertical="center"/>
    </xf>
    <xf numFmtId="0" fontId="97" fillId="77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15" borderId="10" xfId="0" applyNumberFormat="1" applyFont="1" applyFill="1" applyBorder="1" applyAlignment="1">
      <alignment horizontal="center"/>
    </xf>
    <xf numFmtId="164" fontId="9" fillId="46" borderId="10" xfId="0" applyNumberFormat="1" applyFont="1" applyFill="1" applyBorder="1"/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top"/>
    </xf>
    <xf numFmtId="0" fontId="12" fillId="15" borderId="0" xfId="0" applyFont="1" applyFill="1" applyAlignment="1">
      <alignment horizontal="center"/>
    </xf>
    <xf numFmtId="0" fontId="100" fillId="13" borderId="10" xfId="0" applyFont="1" applyFill="1" applyBorder="1" applyAlignment="1">
      <alignment horizontal="center"/>
    </xf>
    <xf numFmtId="0" fontId="100" fillId="43" borderId="10" xfId="0" applyFont="1" applyFill="1" applyBorder="1" applyAlignment="1">
      <alignment horizontal="center"/>
    </xf>
    <xf numFmtId="0" fontId="100" fillId="7" borderId="10" xfId="0" applyFont="1" applyFill="1" applyBorder="1" applyAlignment="1">
      <alignment horizontal="center"/>
    </xf>
    <xf numFmtId="0" fontId="100" fillId="15" borderId="10" xfId="0" applyFont="1" applyFill="1" applyBorder="1" applyAlignment="1">
      <alignment horizontal="center"/>
    </xf>
    <xf numFmtId="0" fontId="100" fillId="16" borderId="10" xfId="0" applyFont="1" applyFill="1" applyBorder="1" applyAlignment="1">
      <alignment horizontal="center"/>
    </xf>
    <xf numFmtId="0" fontId="9" fillId="0" borderId="29" xfId="0" applyFont="1" applyBorder="1" applyAlignment="1">
      <alignment vertical="top" wrapText="1"/>
    </xf>
    <xf numFmtId="0" fontId="29" fillId="13" borderId="10" xfId="0" applyFont="1" applyFill="1" applyBorder="1" applyAlignment="1">
      <alignment shrinkToFit="1"/>
    </xf>
    <xf numFmtId="0" fontId="29" fillId="13" borderId="10" xfId="0" applyFont="1" applyFill="1" applyBorder="1" applyAlignment="1">
      <alignment horizontal="center" shrinkToFit="1"/>
    </xf>
    <xf numFmtId="1" fontId="29" fillId="13" borderId="10" xfId="0" applyNumberFormat="1" applyFont="1" applyFill="1" applyBorder="1" applyAlignment="1">
      <alignment shrinkToFit="1"/>
    </xf>
    <xf numFmtId="0" fontId="30" fillId="0" borderId="0" xfId="0" applyFont="1" applyAlignment="1">
      <alignment shrinkToFit="1"/>
    </xf>
    <xf numFmtId="0" fontId="105" fillId="0" borderId="0" xfId="0" applyFont="1" applyAlignment="1">
      <alignment horizontal="center" vertical="center"/>
    </xf>
    <xf numFmtId="0" fontId="29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6" fillId="76" borderId="0" xfId="0" applyFont="1" applyFill="1" applyAlignment="1">
      <alignment horizontal="center" vertical="center"/>
    </xf>
    <xf numFmtId="0" fontId="20" fillId="72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81" borderId="17" xfId="0" applyFill="1" applyBorder="1"/>
    <xf numFmtId="0" fontId="0" fillId="81" borderId="42" xfId="0" applyFill="1" applyBorder="1"/>
    <xf numFmtId="0" fontId="0" fillId="81" borderId="62" xfId="0" applyFill="1" applyBorder="1"/>
    <xf numFmtId="0" fontId="0" fillId="81" borderId="15" xfId="0" applyFill="1" applyBorder="1"/>
    <xf numFmtId="0" fontId="0" fillId="81" borderId="55" xfId="0" applyFill="1" applyBorder="1"/>
    <xf numFmtId="0" fontId="0" fillId="81" borderId="0" xfId="0" applyFill="1"/>
    <xf numFmtId="0" fontId="18" fillId="0" borderId="82" xfId="0" applyFont="1" applyBorder="1" applyAlignment="1">
      <alignment horizontal="center" vertical="center"/>
    </xf>
    <xf numFmtId="0" fontId="0" fillId="0" borderId="81" xfId="0" applyBorder="1"/>
    <xf numFmtId="0" fontId="119" fillId="81" borderId="15" xfId="0" applyFont="1" applyFill="1" applyBorder="1"/>
    <xf numFmtId="0" fontId="0" fillId="71" borderId="0" xfId="0" applyFill="1" applyAlignment="1">
      <alignment horizontal="center"/>
    </xf>
    <xf numFmtId="0" fontId="0" fillId="71" borderId="21" xfId="0" applyFill="1" applyBorder="1"/>
    <xf numFmtId="0" fontId="0" fillId="71" borderId="0" xfId="0" applyFill="1"/>
    <xf numFmtId="0" fontId="0" fillId="71" borderId="18" xfId="0" applyFill="1" applyBorder="1"/>
    <xf numFmtId="0" fontId="0" fillId="71" borderId="19" xfId="0" applyFill="1" applyBorder="1"/>
    <xf numFmtId="0" fontId="10" fillId="71" borderId="19" xfId="0" applyFont="1" applyFill="1" applyBorder="1" applyAlignment="1">
      <alignment vertical="center"/>
    </xf>
    <xf numFmtId="0" fontId="10" fillId="71" borderId="20" xfId="0" applyFont="1" applyFill="1" applyBorder="1" applyAlignment="1">
      <alignment vertical="center"/>
    </xf>
    <xf numFmtId="0" fontId="0" fillId="81" borderId="89" xfId="0" applyFill="1" applyBorder="1"/>
    <xf numFmtId="0" fontId="0" fillId="81" borderId="22" xfId="0" applyFill="1" applyBorder="1"/>
    <xf numFmtId="0" fontId="0" fillId="85" borderId="90" xfId="0" applyFill="1" applyBorder="1"/>
    <xf numFmtId="0" fontId="0" fillId="87" borderId="55" xfId="0" applyFill="1" applyBorder="1"/>
    <xf numFmtId="0" fontId="0" fillId="87" borderId="15" xfId="0" applyFill="1" applyBorder="1"/>
    <xf numFmtId="0" fontId="0" fillId="87" borderId="62" xfId="0" applyFill="1" applyBorder="1"/>
    <xf numFmtId="0" fontId="0" fillId="87" borderId="0" xfId="0" applyFill="1"/>
    <xf numFmtId="0" fontId="0" fillId="87" borderId="17" xfId="0" applyFill="1" applyBorder="1"/>
    <xf numFmtId="0" fontId="5" fillId="71" borderId="55" xfId="0" applyFont="1" applyFill="1" applyBorder="1" applyAlignment="1">
      <alignment vertical="center"/>
    </xf>
    <xf numFmtId="0" fontId="5" fillId="71" borderId="15" xfId="0" applyFont="1" applyFill="1" applyBorder="1" applyAlignment="1">
      <alignment vertical="center"/>
    </xf>
    <xf numFmtId="0" fontId="5" fillId="71" borderId="36" xfId="0" applyFont="1" applyFill="1" applyBorder="1" applyAlignment="1">
      <alignment vertical="center"/>
    </xf>
    <xf numFmtId="0" fontId="5" fillId="71" borderId="62" xfId="0" applyFont="1" applyFill="1" applyBorder="1" applyAlignment="1">
      <alignment vertical="center"/>
    </xf>
    <xf numFmtId="0" fontId="5" fillId="71" borderId="39" xfId="0" applyFont="1" applyFill="1" applyBorder="1" applyAlignment="1">
      <alignment vertical="center"/>
    </xf>
    <xf numFmtId="0" fontId="5" fillId="71" borderId="42" xfId="0" applyFont="1" applyFill="1" applyBorder="1" applyAlignment="1">
      <alignment vertical="center"/>
    </xf>
    <xf numFmtId="0" fontId="5" fillId="71" borderId="17" xfId="0" applyFont="1" applyFill="1" applyBorder="1" applyAlignment="1">
      <alignment vertical="center"/>
    </xf>
    <xf numFmtId="0" fontId="5" fillId="71" borderId="54" xfId="0" applyFont="1" applyFill="1" applyBorder="1" applyAlignment="1">
      <alignment vertical="center"/>
    </xf>
    <xf numFmtId="0" fontId="0" fillId="71" borderId="16" xfId="0" applyFill="1" applyBorder="1"/>
    <xf numFmtId="0" fontId="0" fillId="71" borderId="38" xfId="0" applyFill="1" applyBorder="1"/>
    <xf numFmtId="0" fontId="0" fillId="71" borderId="37" xfId="0" applyFill="1" applyBorder="1"/>
    <xf numFmtId="0" fontId="104" fillId="0" borderId="0" xfId="0" applyFont="1"/>
    <xf numFmtId="0" fontId="103" fillId="79" borderId="0" xfId="0" applyFont="1" applyFill="1"/>
    <xf numFmtId="0" fontId="20" fillId="79" borderId="0" xfId="0" applyFont="1" applyFill="1" applyAlignment="1">
      <alignment horizontal="center" vertical="center"/>
    </xf>
    <xf numFmtId="0" fontId="101" fillId="79" borderId="0" xfId="0" applyFont="1" applyFill="1"/>
    <xf numFmtId="0" fontId="124" fillId="81" borderId="15" xfId="0" applyFont="1" applyFill="1" applyBorder="1"/>
    <xf numFmtId="0" fontId="13" fillId="79" borderId="0" xfId="0" applyFont="1" applyFill="1" applyAlignment="1">
      <alignment horizontal="center" vertical="center"/>
    </xf>
    <xf numFmtId="0" fontId="97" fillId="75" borderId="34" xfId="0" applyFont="1" applyFill="1" applyBorder="1" applyAlignment="1">
      <alignment horizontal="center" vertical="center"/>
    </xf>
    <xf numFmtId="0" fontId="97" fillId="79" borderId="46" xfId="0" applyFont="1" applyFill="1" applyBorder="1" applyAlignment="1">
      <alignment horizontal="center" vertical="center"/>
    </xf>
    <xf numFmtId="0" fontId="97" fillId="79" borderId="54" xfId="0" applyFont="1" applyFill="1" applyBorder="1" applyAlignment="1">
      <alignment horizontal="center" vertical="center"/>
    </xf>
    <xf numFmtId="0" fontId="9" fillId="79" borderId="10" xfId="0" applyFont="1" applyFill="1" applyBorder="1" applyAlignment="1">
      <alignment horizontal="center" vertical="center" shrinkToFit="1"/>
    </xf>
    <xf numFmtId="0" fontId="24" fillId="15" borderId="10" xfId="0" applyFont="1" applyFill="1" applyBorder="1" applyAlignment="1">
      <alignment horizontal="center" vertical="center" textRotation="90" shrinkToFit="1"/>
    </xf>
    <xf numFmtId="0" fontId="31" fillId="15" borderId="10" xfId="0" applyFont="1" applyFill="1" applyBorder="1" applyAlignment="1">
      <alignment horizontal="center" vertical="center" textRotation="90" shrinkToFit="1"/>
    </xf>
    <xf numFmtId="0" fontId="118" fillId="15" borderId="10" xfId="0" applyFont="1" applyFill="1" applyBorder="1" applyAlignment="1">
      <alignment horizontal="center" vertical="center" textRotation="90" shrinkToFit="1"/>
    </xf>
    <xf numFmtId="0" fontId="20" fillId="15" borderId="10" xfId="0" applyFont="1" applyFill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8" fillId="0" borderId="0" xfId="0" applyFont="1"/>
    <xf numFmtId="0" fontId="130" fillId="0" borderId="0" xfId="0" applyFont="1"/>
    <xf numFmtId="0" fontId="18" fillId="85" borderId="53" xfId="0" applyFont="1" applyFill="1" applyBorder="1" applyAlignment="1">
      <alignment vertical="center"/>
    </xf>
    <xf numFmtId="0" fontId="18" fillId="85" borderId="15" xfId="0" applyFont="1" applyFill="1" applyBorder="1" applyAlignment="1">
      <alignment vertical="center"/>
    </xf>
    <xf numFmtId="0" fontId="18" fillId="85" borderId="36" xfId="0" applyFont="1" applyFill="1" applyBorder="1" applyAlignment="1">
      <alignment vertical="center"/>
    </xf>
    <xf numFmtId="0" fontId="18" fillId="85" borderId="23" xfId="0" applyFont="1" applyFill="1" applyBorder="1" applyAlignment="1">
      <alignment vertical="center"/>
    </xf>
    <xf numFmtId="0" fontId="18" fillId="85" borderId="24" xfId="0" applyFont="1" applyFill="1" applyBorder="1" applyAlignment="1">
      <alignment vertical="center"/>
    </xf>
    <xf numFmtId="0" fontId="18" fillId="85" borderId="95" xfId="0" applyFont="1" applyFill="1" applyBorder="1" applyAlignment="1">
      <alignment vertical="center"/>
    </xf>
    <xf numFmtId="0" fontId="0" fillId="0" borderId="109" xfId="0" applyBorder="1"/>
    <xf numFmtId="0" fontId="0" fillId="0" borderId="110" xfId="0" applyBorder="1"/>
    <xf numFmtId="0" fontId="0" fillId="82" borderId="111" xfId="0" applyFill="1" applyBorder="1"/>
    <xf numFmtId="0" fontId="0" fillId="82" borderId="38" xfId="0" applyFill="1" applyBorder="1"/>
    <xf numFmtId="0" fontId="0" fillId="82" borderId="112" xfId="0" applyFill="1" applyBorder="1"/>
    <xf numFmtId="0" fontId="97" fillId="15" borderId="10" xfId="0" applyFont="1" applyFill="1" applyBorder="1" applyAlignment="1">
      <alignment horizontal="center"/>
    </xf>
    <xf numFmtId="1" fontId="114" fillId="15" borderId="10" xfId="0" applyNumberFormat="1" applyFont="1" applyFill="1" applyBorder="1" applyAlignment="1">
      <alignment horizontal="center"/>
    </xf>
    <xf numFmtId="0" fontId="65" fillId="0" borderId="10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" fontId="37" fillId="75" borderId="10" xfId="0" applyNumberFormat="1" applyFont="1" applyFill="1" applyBorder="1" applyAlignment="1">
      <alignment horizontal="center" vertical="center" shrinkToFit="1"/>
    </xf>
    <xf numFmtId="1" fontId="37" fillId="16" borderId="10" xfId="0" applyNumberFormat="1" applyFont="1" applyFill="1" applyBorder="1" applyAlignment="1">
      <alignment horizontal="center" vertical="center" shrinkToFit="1"/>
    </xf>
    <xf numFmtId="1" fontId="37" fillId="78" borderId="10" xfId="0" applyNumberFormat="1" applyFont="1" applyFill="1" applyBorder="1" applyAlignment="1">
      <alignment horizontal="center" vertical="center" shrinkToFit="1"/>
    </xf>
    <xf numFmtId="1" fontId="60" fillId="82" borderId="10" xfId="0" applyNumberFormat="1" applyFont="1" applyFill="1" applyBorder="1" applyAlignment="1">
      <alignment horizontal="center" vertical="center" shrinkToFit="1"/>
    </xf>
    <xf numFmtId="1" fontId="37" fillId="43" borderId="10" xfId="0" applyNumberFormat="1" applyFont="1" applyFill="1" applyBorder="1" applyAlignment="1">
      <alignment horizontal="center" vertical="center" shrinkToFit="1"/>
    </xf>
    <xf numFmtId="1" fontId="62" fillId="16" borderId="10" xfId="0" applyNumberFormat="1" applyFont="1" applyFill="1" applyBorder="1" applyAlignment="1">
      <alignment horizontal="center" vertical="center" shrinkToFit="1"/>
    </xf>
    <xf numFmtId="0" fontId="96" fillId="0" borderId="10" xfId="0" applyFont="1" applyBorder="1" applyAlignment="1">
      <alignment horizontal="center" vertical="center" shrinkToFit="1"/>
    </xf>
    <xf numFmtId="0" fontId="11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6" fillId="47" borderId="10" xfId="0" applyFont="1" applyFill="1" applyBorder="1" applyAlignment="1">
      <alignment horizontal="center" vertical="center" shrinkToFit="1"/>
    </xf>
    <xf numFmtId="1" fontId="97" fillId="75" borderId="10" xfId="0" applyNumberFormat="1" applyFont="1" applyFill="1" applyBorder="1" applyAlignment="1">
      <alignment horizontal="center" vertical="center" shrinkToFit="1"/>
    </xf>
    <xf numFmtId="1" fontId="97" fillId="16" borderId="10" xfId="0" applyNumberFormat="1" applyFont="1" applyFill="1" applyBorder="1" applyAlignment="1">
      <alignment horizontal="center" vertical="center" shrinkToFit="1"/>
    </xf>
    <xf numFmtId="1" fontId="97" fillId="78" borderId="10" xfId="0" applyNumberFormat="1" applyFont="1" applyFill="1" applyBorder="1" applyAlignment="1">
      <alignment horizontal="center" vertical="center" shrinkToFit="1"/>
    </xf>
    <xf numFmtId="1" fontId="97" fillId="43" borderId="10" xfId="0" applyNumberFormat="1" applyFont="1" applyFill="1" applyBorder="1" applyAlignment="1">
      <alignment horizontal="center" vertical="center" shrinkToFit="1"/>
    </xf>
    <xf numFmtId="0" fontId="114" fillId="47" borderId="10" xfId="0" applyFont="1" applyFill="1" applyBorder="1" applyAlignment="1">
      <alignment horizontal="center" vertical="center" shrinkToFit="1"/>
    </xf>
    <xf numFmtId="0" fontId="133" fillId="75" borderId="15" xfId="0" applyFont="1" applyFill="1" applyBorder="1"/>
    <xf numFmtId="0" fontId="115" fillId="0" borderId="0" xfId="0" applyFont="1"/>
    <xf numFmtId="0" fontId="133" fillId="0" borderId="0" xfId="0" applyFont="1"/>
    <xf numFmtId="0" fontId="135" fillId="0" borderId="0" xfId="0" applyFont="1"/>
    <xf numFmtId="0" fontId="136" fillId="0" borderId="0" xfId="0" applyFont="1"/>
    <xf numFmtId="0" fontId="134" fillId="0" borderId="0" xfId="0" applyFont="1"/>
    <xf numFmtId="0" fontId="117" fillId="0" borderId="0" xfId="0" applyFont="1" applyAlignment="1">
      <alignment horizontal="left" vertical="center"/>
    </xf>
    <xf numFmtId="0" fontId="97" fillId="75" borderId="55" xfId="0" applyFont="1" applyFill="1" applyBorder="1" applyAlignment="1">
      <alignment horizontal="center" vertical="center"/>
    </xf>
    <xf numFmtId="0" fontId="128" fillId="0" borderId="0" xfId="0" applyFont="1" applyAlignment="1">
      <alignment horizontal="right" vertical="center"/>
    </xf>
    <xf numFmtId="0" fontId="5" fillId="71" borderId="0" xfId="0" applyFont="1" applyFill="1" applyAlignment="1">
      <alignment vertical="center"/>
    </xf>
    <xf numFmtId="0" fontId="126" fillId="87" borderId="62" xfId="0" applyFont="1" applyFill="1" applyBorder="1" applyAlignment="1">
      <alignment wrapText="1"/>
    </xf>
    <xf numFmtId="0" fontId="126" fillId="87" borderId="0" xfId="0" applyFont="1" applyFill="1" applyAlignment="1">
      <alignment wrapText="1"/>
    </xf>
    <xf numFmtId="0" fontId="126" fillId="87" borderId="39" xfId="0" applyFont="1" applyFill="1" applyBorder="1" applyAlignment="1">
      <alignment wrapText="1"/>
    </xf>
    <xf numFmtId="0" fontId="126" fillId="87" borderId="62" xfId="0" applyFont="1" applyFill="1" applyBorder="1"/>
    <xf numFmtId="0" fontId="126" fillId="87" borderId="0" xfId="0" applyFont="1" applyFill="1"/>
    <xf numFmtId="0" fontId="126" fillId="87" borderId="39" xfId="0" applyFont="1" applyFill="1" applyBorder="1"/>
    <xf numFmtId="0" fontId="128" fillId="0" borderId="0" xfId="0" applyFont="1" applyAlignment="1">
      <alignment horizontal="right"/>
    </xf>
    <xf numFmtId="0" fontId="137" fillId="71" borderId="0" xfId="0" applyFont="1" applyFill="1" applyAlignment="1">
      <alignment horizontal="center" vertical="center"/>
    </xf>
    <xf numFmtId="0" fontId="139" fillId="87" borderId="0" xfId="0" applyFont="1" applyFill="1" applyAlignment="1">
      <alignment horizontal="center" vertical="center"/>
    </xf>
    <xf numFmtId="0" fontId="97" fillId="75" borderId="33" xfId="0" applyFont="1" applyFill="1" applyBorder="1" applyAlignment="1">
      <alignment horizontal="center" vertical="center" shrinkToFit="1"/>
    </xf>
    <xf numFmtId="0" fontId="98" fillId="75" borderId="10" xfId="112" applyFont="1" applyFill="1" applyBorder="1" applyAlignment="1">
      <alignment horizontal="center" vertical="center" shrinkToFit="1"/>
    </xf>
    <xf numFmtId="0" fontId="98" fillId="0" borderId="14" xfId="0" applyFont="1" applyBorder="1" applyAlignment="1">
      <alignment horizontal="center" vertical="center" shrinkToFit="1"/>
    </xf>
    <xf numFmtId="0" fontId="98" fillId="0" borderId="12" xfId="0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 shrinkToFit="1"/>
    </xf>
    <xf numFmtId="0" fontId="97" fillId="79" borderId="41" xfId="0" applyFont="1" applyFill="1" applyBorder="1" applyAlignment="1">
      <alignment horizontal="center" vertical="center" shrinkToFit="1"/>
    </xf>
    <xf numFmtId="0" fontId="98" fillId="72" borderId="14" xfId="0" applyFont="1" applyFill="1" applyBorder="1" applyAlignment="1">
      <alignment horizontal="center" vertical="center" shrinkToFit="1"/>
    </xf>
    <xf numFmtId="0" fontId="98" fillId="72" borderId="12" xfId="0" applyFont="1" applyFill="1" applyBorder="1" applyAlignment="1">
      <alignment horizontal="center" vertical="center" shrinkToFit="1"/>
    </xf>
    <xf numFmtId="0" fontId="0" fillId="86" borderId="21" xfId="0" applyFill="1" applyBorder="1"/>
    <xf numFmtId="0" fontId="140" fillId="0" borderId="25" xfId="0" applyFont="1" applyBorder="1" applyAlignment="1">
      <alignment horizontal="center" vertical="center" wrapText="1"/>
    </xf>
    <xf numFmtId="0" fontId="14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16" fillId="0" borderId="0" xfId="0" applyFont="1" applyAlignment="1">
      <alignment horizontal="center" wrapText="1"/>
    </xf>
    <xf numFmtId="0" fontId="64" fillId="87" borderId="10" xfId="0" applyFont="1" applyFill="1" applyBorder="1" applyAlignment="1">
      <alignment horizontal="center" vertical="center"/>
    </xf>
    <xf numFmtId="0" fontId="65" fillId="87" borderId="10" xfId="0" applyFont="1" applyFill="1" applyBorder="1" applyAlignment="1">
      <alignment horizontal="center" vertical="center"/>
    </xf>
    <xf numFmtId="0" fontId="115" fillId="87" borderId="10" xfId="0" applyFont="1" applyFill="1" applyBorder="1" applyAlignment="1">
      <alignment horizontal="center" vertical="center" wrapText="1"/>
    </xf>
    <xf numFmtId="0" fontId="6" fillId="87" borderId="10" xfId="0" applyFont="1" applyFill="1" applyBorder="1" applyAlignment="1">
      <alignment horizontal="center" vertical="center" wrapText="1"/>
    </xf>
    <xf numFmtId="0" fontId="144" fillId="0" borderId="0" xfId="0" applyFont="1"/>
    <xf numFmtId="0" fontId="145" fillId="16" borderId="10" xfId="0" applyFont="1" applyFill="1" applyBorder="1" applyAlignment="1">
      <alignment horizontal="center"/>
    </xf>
    <xf numFmtId="0" fontId="145" fillId="7" borderId="10" xfId="0" applyFont="1" applyFill="1" applyBorder="1" applyAlignment="1">
      <alignment horizontal="center" vertical="justify"/>
    </xf>
    <xf numFmtId="1" fontId="29" fillId="13" borderId="10" xfId="0" applyNumberFormat="1" applyFont="1" applyFill="1" applyBorder="1" applyAlignment="1">
      <alignment horizontal="center" vertical="center" shrinkToFit="1"/>
    </xf>
    <xf numFmtId="0" fontId="126" fillId="16" borderId="10" xfId="0" applyFont="1" applyFill="1" applyBorder="1" applyAlignment="1">
      <alignment horizontal="center" vertical="top"/>
    </xf>
    <xf numFmtId="0" fontId="126" fillId="16" borderId="10" xfId="0" applyFont="1" applyFill="1" applyBorder="1"/>
    <xf numFmtId="0" fontId="126" fillId="7" borderId="10" xfId="0" applyFont="1" applyFill="1" applyBorder="1" applyAlignment="1">
      <alignment horizontal="center" vertical="justify"/>
    </xf>
    <xf numFmtId="0" fontId="126" fillId="7" borderId="10" xfId="0" applyFont="1" applyFill="1" applyBorder="1" applyAlignment="1">
      <alignment vertical="justify"/>
    </xf>
    <xf numFmtId="0" fontId="98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shrinkToFit="1"/>
    </xf>
    <xf numFmtId="0" fontId="114" fillId="89" borderId="14" xfId="0" applyFont="1" applyFill="1" applyBorder="1" applyAlignment="1">
      <alignment horizontal="center" vertical="center"/>
    </xf>
    <xf numFmtId="0" fontId="114" fillId="90" borderId="14" xfId="0" applyFont="1" applyFill="1" applyBorder="1" applyAlignment="1">
      <alignment horizontal="center" vertical="center"/>
    </xf>
    <xf numFmtId="0" fontId="114" fillId="89" borderId="12" xfId="0" applyFont="1" applyFill="1" applyBorder="1" applyAlignment="1">
      <alignment horizontal="center" vertical="center"/>
    </xf>
    <xf numFmtId="0" fontId="97" fillId="89" borderId="12" xfId="0" applyFont="1" applyFill="1" applyBorder="1" applyAlignment="1">
      <alignment horizontal="center" vertical="center"/>
    </xf>
    <xf numFmtId="0" fontId="114" fillId="90" borderId="12" xfId="0" applyFont="1" applyFill="1" applyBorder="1" applyAlignment="1">
      <alignment horizontal="center" vertical="center"/>
    </xf>
    <xf numFmtId="0" fontId="97" fillId="90" borderId="12" xfId="0" applyFont="1" applyFill="1" applyBorder="1" applyAlignment="1">
      <alignment horizontal="center" vertical="center"/>
    </xf>
    <xf numFmtId="0" fontId="114" fillId="91" borderId="12" xfId="0" applyFont="1" applyFill="1" applyBorder="1" applyAlignment="1">
      <alignment horizontal="center" vertical="center"/>
    </xf>
    <xf numFmtId="0" fontId="97" fillId="91" borderId="12" xfId="0" applyFont="1" applyFill="1" applyBorder="1" applyAlignment="1">
      <alignment horizontal="center" vertical="center"/>
    </xf>
    <xf numFmtId="0" fontId="114" fillId="89" borderId="96" xfId="0" applyFont="1" applyFill="1" applyBorder="1" applyAlignment="1">
      <alignment horizontal="center" vertical="center"/>
    </xf>
    <xf numFmtId="0" fontId="97" fillId="89" borderId="96" xfId="0" applyFont="1" applyFill="1" applyBorder="1" applyAlignment="1">
      <alignment horizontal="center" vertical="center"/>
    </xf>
    <xf numFmtId="0" fontId="114" fillId="90" borderId="96" xfId="0" applyFont="1" applyFill="1" applyBorder="1" applyAlignment="1">
      <alignment horizontal="center" vertical="center"/>
    </xf>
    <xf numFmtId="0" fontId="98" fillId="89" borderId="12" xfId="0" applyFont="1" applyFill="1" applyBorder="1" applyAlignment="1">
      <alignment horizontal="center" vertical="center"/>
    </xf>
    <xf numFmtId="0" fontId="97" fillId="92" borderId="83" xfId="0" applyFont="1" applyFill="1" applyBorder="1" applyAlignment="1">
      <alignment horizontal="center" vertical="center"/>
    </xf>
    <xf numFmtId="0" fontId="97" fillId="92" borderId="84" xfId="0" applyFont="1" applyFill="1" applyBorder="1" applyAlignment="1">
      <alignment horizontal="center" vertical="center"/>
    </xf>
    <xf numFmtId="0" fontId="97" fillId="88" borderId="84" xfId="0" applyFont="1" applyFill="1" applyBorder="1" applyAlignment="1">
      <alignment horizontal="center" vertical="center"/>
    </xf>
    <xf numFmtId="0" fontId="97" fillId="89" borderId="84" xfId="0" applyFont="1" applyFill="1" applyBorder="1" applyAlignment="1">
      <alignment horizontal="center" vertical="center"/>
    </xf>
    <xf numFmtId="0" fontId="97" fillId="89" borderId="26" xfId="0" applyFont="1" applyFill="1" applyBorder="1" applyAlignment="1">
      <alignment horizontal="center" vertical="center"/>
    </xf>
    <xf numFmtId="0" fontId="97" fillId="92" borderId="85" xfId="0" applyFont="1" applyFill="1" applyBorder="1" applyAlignment="1">
      <alignment horizontal="center" vertical="center"/>
    </xf>
    <xf numFmtId="0" fontId="97" fillId="92" borderId="86" xfId="0" applyFont="1" applyFill="1" applyBorder="1" applyAlignment="1">
      <alignment horizontal="center" vertical="center"/>
    </xf>
    <xf numFmtId="0" fontId="97" fillId="88" borderId="86" xfId="0" applyFont="1" applyFill="1" applyBorder="1" applyAlignment="1">
      <alignment horizontal="center" vertical="center"/>
    </xf>
    <xf numFmtId="0" fontId="97" fillId="89" borderId="86" xfId="0" applyFont="1" applyFill="1" applyBorder="1" applyAlignment="1">
      <alignment horizontal="center" vertical="center"/>
    </xf>
    <xf numFmtId="0" fontId="97" fillId="89" borderId="27" xfId="0" applyFont="1" applyFill="1" applyBorder="1" applyAlignment="1">
      <alignment horizontal="center" vertical="center"/>
    </xf>
    <xf numFmtId="0" fontId="97" fillId="92" borderId="87" xfId="0" applyFont="1" applyFill="1" applyBorder="1" applyAlignment="1">
      <alignment horizontal="center" vertical="center"/>
    </xf>
    <xf numFmtId="0" fontId="97" fillId="92" borderId="88" xfId="0" applyFont="1" applyFill="1" applyBorder="1" applyAlignment="1">
      <alignment horizontal="center" vertical="center"/>
    </xf>
    <xf numFmtId="0" fontId="97" fillId="88" borderId="88" xfId="0" applyFont="1" applyFill="1" applyBorder="1" applyAlignment="1">
      <alignment horizontal="center" vertical="center"/>
    </xf>
    <xf numFmtId="0" fontId="97" fillId="89" borderId="88" xfId="0" applyFont="1" applyFill="1" applyBorder="1" applyAlignment="1">
      <alignment horizontal="center" vertical="center"/>
    </xf>
    <xf numFmtId="0" fontId="97" fillId="89" borderId="28" xfId="0" applyFont="1" applyFill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/>
    </xf>
    <xf numFmtId="0" fontId="147" fillId="0" borderId="13" xfId="0" applyFont="1" applyBorder="1" applyAlignment="1">
      <alignment horizontal="center" vertical="center"/>
    </xf>
    <xf numFmtId="0" fontId="148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98" fillId="79" borderId="40" xfId="0" applyFont="1" applyFill="1" applyBorder="1" applyAlignment="1">
      <alignment horizontal="center" vertical="center"/>
    </xf>
    <xf numFmtId="0" fontId="98" fillId="79" borderId="118" xfId="0" applyFont="1" applyFill="1" applyBorder="1" applyAlignment="1">
      <alignment horizontal="center" vertical="center"/>
    </xf>
    <xf numFmtId="0" fontId="127" fillId="72" borderId="119" xfId="0" applyFont="1" applyFill="1" applyBorder="1" applyAlignment="1">
      <alignment horizontal="center" vertical="center"/>
    </xf>
    <xf numFmtId="0" fontId="127" fillId="72" borderId="12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21" fillId="79" borderId="110" xfId="0" applyFont="1" applyFill="1" applyBorder="1"/>
    <xf numFmtId="0" fontId="121" fillId="79" borderId="122" xfId="0" applyFont="1" applyFill="1" applyBorder="1"/>
    <xf numFmtId="0" fontId="121" fillId="79" borderId="122" xfId="0" applyFont="1" applyFill="1" applyBorder="1" applyAlignment="1">
      <alignment shrinkToFit="1"/>
    </xf>
    <xf numFmtId="0" fontId="131" fillId="79" borderId="122" xfId="0" applyFont="1" applyFill="1" applyBorder="1"/>
    <xf numFmtId="0" fontId="121" fillId="79" borderId="109" xfId="0" applyFont="1" applyFill="1" applyBorder="1"/>
    <xf numFmtId="0" fontId="121" fillId="79" borderId="123" xfId="0" applyFont="1" applyFill="1" applyBorder="1"/>
    <xf numFmtId="0" fontId="121" fillId="79" borderId="29" xfId="0" applyFont="1" applyFill="1" applyBorder="1"/>
    <xf numFmtId="0" fontId="121" fillId="79" borderId="29" xfId="0" applyFont="1" applyFill="1" applyBorder="1" applyAlignment="1">
      <alignment shrinkToFit="1"/>
    </xf>
    <xf numFmtId="0" fontId="131" fillId="79" borderId="29" xfId="0" applyFont="1" applyFill="1" applyBorder="1"/>
    <xf numFmtId="0" fontId="121" fillId="75" borderId="123" xfId="0" applyFont="1" applyFill="1" applyBorder="1" applyAlignment="1">
      <alignment horizontal="center"/>
    </xf>
    <xf numFmtId="0" fontId="121" fillId="75" borderId="29" xfId="0" applyFont="1" applyFill="1" applyBorder="1" applyAlignment="1">
      <alignment horizontal="center"/>
    </xf>
    <xf numFmtId="0" fontId="149" fillId="79" borderId="124" xfId="0" applyFont="1" applyFill="1" applyBorder="1" applyAlignment="1">
      <alignment horizontal="right"/>
    </xf>
    <xf numFmtId="0" fontId="149" fillId="75" borderId="124" xfId="0" applyFont="1" applyFill="1" applyBorder="1" applyAlignment="1">
      <alignment horizontal="right"/>
    </xf>
    <xf numFmtId="0" fontId="110" fillId="0" borderId="122" xfId="0" applyFont="1" applyBorder="1" applyAlignment="1">
      <alignment horizontal="center" vertical="center"/>
    </xf>
    <xf numFmtId="0" fontId="98" fillId="0" borderId="122" xfId="0" applyFont="1" applyBorder="1" applyAlignment="1">
      <alignment horizontal="center" vertical="center"/>
    </xf>
    <xf numFmtId="0" fontId="98" fillId="0" borderId="122" xfId="0" applyFont="1" applyBorder="1" applyAlignment="1">
      <alignment horizontal="center" vertical="center" shrinkToFit="1"/>
    </xf>
    <xf numFmtId="0" fontId="100" fillId="0" borderId="122" xfId="0" applyFont="1" applyBorder="1" applyAlignment="1">
      <alignment horizontal="left" vertical="center"/>
    </xf>
    <xf numFmtId="0" fontId="100" fillId="0" borderId="122" xfId="0" applyFont="1" applyBorder="1" applyAlignment="1">
      <alignment horizontal="center" vertical="center"/>
    </xf>
    <xf numFmtId="0" fontId="146" fillId="0" borderId="122" xfId="0" applyFont="1" applyBorder="1" applyAlignment="1">
      <alignment horizontal="center" vertical="center"/>
    </xf>
    <xf numFmtId="0" fontId="98" fillId="87" borderId="14" xfId="0" applyFont="1" applyFill="1" applyBorder="1" applyAlignment="1">
      <alignment horizontal="center" vertical="center" shrinkToFit="1"/>
    </xf>
    <xf numFmtId="0" fontId="98" fillId="87" borderId="12" xfId="0" applyFont="1" applyFill="1" applyBorder="1" applyAlignment="1">
      <alignment horizontal="center" vertical="center" shrinkToFit="1"/>
    </xf>
    <xf numFmtId="0" fontId="98" fillId="87" borderId="13" xfId="0" applyFont="1" applyFill="1" applyBorder="1" applyAlignment="1">
      <alignment horizontal="center" vertical="center" shrinkToFit="1"/>
    </xf>
    <xf numFmtId="0" fontId="98" fillId="87" borderId="14" xfId="0" applyFont="1" applyFill="1" applyBorder="1" applyAlignment="1">
      <alignment horizontal="center" vertical="center"/>
    </xf>
    <xf numFmtId="0" fontId="98" fillId="87" borderId="12" xfId="0" applyFont="1" applyFill="1" applyBorder="1" applyAlignment="1">
      <alignment horizontal="center" vertical="center"/>
    </xf>
    <xf numFmtId="0" fontId="98" fillId="87" borderId="13" xfId="0" applyFont="1" applyFill="1" applyBorder="1" applyAlignment="1">
      <alignment horizontal="center" vertical="center"/>
    </xf>
    <xf numFmtId="0" fontId="150" fillId="0" borderId="13" xfId="0" applyFont="1" applyBorder="1" applyAlignment="1">
      <alignment horizontal="center" vertical="center"/>
    </xf>
    <xf numFmtId="0" fontId="5" fillId="93" borderId="12" xfId="0" applyFont="1" applyFill="1" applyBorder="1" applyAlignment="1">
      <alignment horizontal="center" vertical="center"/>
    </xf>
    <xf numFmtId="0" fontId="100" fillId="93" borderId="12" xfId="0" applyFont="1" applyFill="1" applyBorder="1" applyAlignment="1">
      <alignment horizontal="center" vertical="center"/>
    </xf>
    <xf numFmtId="0" fontId="5" fillId="93" borderId="13" xfId="0" applyFont="1" applyFill="1" applyBorder="1" applyAlignment="1">
      <alignment horizontal="center" vertical="center"/>
    </xf>
    <xf numFmtId="0" fontId="100" fillId="94" borderId="14" xfId="0" applyFont="1" applyFill="1" applyBorder="1" applyAlignment="1">
      <alignment horizontal="center" vertical="center"/>
    </xf>
    <xf numFmtId="0" fontId="100" fillId="94" borderId="12" xfId="0" applyFont="1" applyFill="1" applyBorder="1" applyAlignment="1">
      <alignment horizontal="center" vertical="center"/>
    </xf>
    <xf numFmtId="0" fontId="150" fillId="93" borderId="13" xfId="0" applyFont="1" applyFill="1" applyBorder="1" applyAlignment="1">
      <alignment horizontal="center" vertical="center"/>
    </xf>
    <xf numFmtId="0" fontId="100" fillId="94" borderId="13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/>
    </xf>
    <xf numFmtId="0" fontId="5" fillId="93" borderId="14" xfId="0" applyFont="1" applyFill="1" applyBorder="1" applyAlignment="1">
      <alignment horizontal="center" vertical="center"/>
    </xf>
    <xf numFmtId="0" fontId="5" fillId="94" borderId="12" xfId="0" applyFont="1" applyFill="1" applyBorder="1" applyAlignment="1">
      <alignment horizontal="center" vertical="center"/>
    </xf>
    <xf numFmtId="0" fontId="114" fillId="15" borderId="10" xfId="0" applyFont="1" applyFill="1" applyBorder="1" applyAlignment="1">
      <alignment horizontal="center"/>
    </xf>
    <xf numFmtId="1" fontId="152" fillId="82" borderId="10" xfId="0" applyNumberFormat="1" applyFont="1" applyFill="1" applyBorder="1" applyAlignment="1">
      <alignment horizontal="center" vertical="center" shrinkToFit="1"/>
    </xf>
    <xf numFmtId="1" fontId="152" fillId="16" borderId="10" xfId="0" applyNumberFormat="1" applyFont="1" applyFill="1" applyBorder="1" applyAlignment="1">
      <alignment horizontal="center" vertical="center" shrinkToFit="1"/>
    </xf>
    <xf numFmtId="0" fontId="114" fillId="0" borderId="0" xfId="0" applyFont="1"/>
    <xf numFmtId="0" fontId="64" fillId="87" borderId="10" xfId="0" applyFont="1" applyFill="1" applyBorder="1" applyAlignment="1">
      <alignment horizontal="left" vertical="center"/>
    </xf>
    <xf numFmtId="0" fontId="99" fillId="79" borderId="10" xfId="0" applyFont="1" applyFill="1" applyBorder="1" applyAlignment="1">
      <alignment horizontal="center" vertical="center"/>
    </xf>
    <xf numFmtId="0" fontId="151" fillId="79" borderId="10" xfId="0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/>
    </xf>
    <xf numFmtId="0" fontId="134" fillId="79" borderId="10" xfId="0" applyFont="1" applyFill="1" applyBorder="1" applyAlignment="1">
      <alignment horizontal="center" vertical="center" wrapText="1"/>
    </xf>
    <xf numFmtId="0" fontId="153" fillId="79" borderId="10" xfId="0" applyFont="1" applyFill="1" applyBorder="1" applyAlignment="1">
      <alignment horizontal="center" vertical="center" wrapText="1"/>
    </xf>
    <xf numFmtId="0" fontId="154" fillId="72" borderId="10" xfId="0" applyFont="1" applyFill="1" applyBorder="1" applyAlignment="1">
      <alignment horizontal="center" vertical="center"/>
    </xf>
    <xf numFmtId="0" fontId="155" fillId="72" borderId="10" xfId="0" applyFont="1" applyFill="1" applyBorder="1" applyAlignment="1">
      <alignment horizontal="center" vertical="center"/>
    </xf>
    <xf numFmtId="0" fontId="154" fillId="72" borderId="10" xfId="0" applyFont="1" applyFill="1" applyBorder="1" applyAlignment="1">
      <alignment horizontal="left" vertical="center"/>
    </xf>
    <xf numFmtId="0" fontId="135" fillId="72" borderId="10" xfId="0" applyFont="1" applyFill="1" applyBorder="1" applyAlignment="1">
      <alignment horizontal="center" vertical="center" wrapText="1"/>
    </xf>
    <xf numFmtId="0" fontId="156" fillId="72" borderId="10" xfId="0" applyFont="1" applyFill="1" applyBorder="1" applyAlignment="1">
      <alignment horizontal="center" vertical="center" wrapText="1"/>
    </xf>
    <xf numFmtId="0" fontId="64" fillId="79" borderId="10" xfId="0" applyFont="1" applyFill="1" applyBorder="1" applyAlignment="1">
      <alignment horizontal="center" vertical="center"/>
    </xf>
    <xf numFmtId="0" fontId="65" fillId="79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justify"/>
    </xf>
    <xf numFmtId="49" fontId="151" fillId="79" borderId="10" xfId="0" applyNumberFormat="1" applyFont="1" applyFill="1" applyBorder="1" applyAlignment="1">
      <alignment horizontal="center" vertical="center"/>
    </xf>
    <xf numFmtId="49" fontId="155" fillId="72" borderId="10" xfId="0" applyNumberFormat="1" applyFont="1" applyFill="1" applyBorder="1" applyAlignment="1">
      <alignment horizontal="center" vertical="center"/>
    </xf>
    <xf numFmtId="49" fontId="65" fillId="87" borderId="10" xfId="0" applyNumberFormat="1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 wrapText="1"/>
    </xf>
    <xf numFmtId="0" fontId="151" fillId="0" borderId="10" xfId="0" applyFont="1" applyBorder="1" applyAlignment="1">
      <alignment horizontal="center" vertical="center"/>
    </xf>
    <xf numFmtId="0" fontId="64" fillId="87" borderId="10" xfId="0" applyFont="1" applyFill="1" applyBorder="1" applyAlignment="1">
      <alignment horizontal="left" vertical="center" wrapText="1"/>
    </xf>
    <xf numFmtId="0" fontId="157" fillId="13" borderId="10" xfId="0" applyFont="1" applyFill="1" applyBorder="1" applyAlignment="1">
      <alignment horizontal="center"/>
    </xf>
    <xf numFmtId="0" fontId="157" fillId="43" borderId="10" xfId="0" applyFont="1" applyFill="1" applyBorder="1" applyAlignment="1">
      <alignment horizontal="center"/>
    </xf>
    <xf numFmtId="0" fontId="157" fillId="7" borderId="10" xfId="0" applyFont="1" applyFill="1" applyBorder="1" applyAlignment="1">
      <alignment horizontal="center"/>
    </xf>
    <xf numFmtId="0" fontId="157" fillId="15" borderId="10" xfId="0" applyFont="1" applyFill="1" applyBorder="1" applyAlignment="1">
      <alignment horizontal="center"/>
    </xf>
    <xf numFmtId="0" fontId="157" fillId="16" borderId="10" xfId="0" applyFont="1" applyFill="1" applyBorder="1" applyAlignment="1">
      <alignment horizontal="center"/>
    </xf>
    <xf numFmtId="0" fontId="145" fillId="13" borderId="10" xfId="0" applyFont="1" applyFill="1" applyBorder="1" applyAlignment="1">
      <alignment horizontal="center"/>
    </xf>
    <xf numFmtId="0" fontId="126" fillId="13" borderId="10" xfId="0" applyFont="1" applyFill="1" applyBorder="1" applyAlignment="1">
      <alignment horizontal="center" vertical="top"/>
    </xf>
    <xf numFmtId="0" fontId="126" fillId="13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94" borderId="114" xfId="0" applyFont="1" applyFill="1" applyBorder="1" applyAlignment="1">
      <alignment horizontal="center" vertical="center" wrapText="1"/>
    </xf>
    <xf numFmtId="0" fontId="5" fillId="94" borderId="1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94" borderId="126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 wrapText="1"/>
    </xf>
    <xf numFmtId="0" fontId="5" fillId="94" borderId="125" xfId="0" applyFont="1" applyFill="1" applyBorder="1" applyAlignment="1">
      <alignment horizontal="center" vertical="center"/>
    </xf>
    <xf numFmtId="0" fontId="5" fillId="93" borderId="114" xfId="0" applyFont="1" applyFill="1" applyBorder="1" applyAlignment="1">
      <alignment horizontal="center" vertical="center"/>
    </xf>
    <xf numFmtId="0" fontId="5" fillId="94" borderId="13" xfId="0" applyFont="1" applyFill="1" applyBorder="1" applyAlignment="1">
      <alignment horizontal="center" vertical="center"/>
    </xf>
    <xf numFmtId="0" fontId="100" fillId="93" borderId="126" xfId="0" applyFont="1" applyFill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47" fillId="0" borderId="127" xfId="0" applyFont="1" applyBorder="1" applyAlignment="1">
      <alignment horizontal="center" vertical="center" wrapText="1"/>
    </xf>
    <xf numFmtId="0" fontId="147" fillId="0" borderId="128" xfId="0" applyFont="1" applyBorder="1" applyAlignment="1">
      <alignment horizontal="center" vertical="center" wrapText="1"/>
    </xf>
    <xf numFmtId="0" fontId="147" fillId="0" borderId="129" xfId="0" applyFont="1" applyBorder="1" applyAlignment="1">
      <alignment horizontal="center" vertical="center" wrapText="1"/>
    </xf>
    <xf numFmtId="0" fontId="158" fillId="0" borderId="0" xfId="0" applyFont="1"/>
    <xf numFmtId="0" fontId="98" fillId="92" borderId="84" xfId="0" applyFont="1" applyFill="1" applyBorder="1" applyAlignment="1">
      <alignment horizontal="center" vertical="center"/>
    </xf>
    <xf numFmtId="0" fontId="97" fillId="0" borderId="84" xfId="0" quotePrefix="1" applyFont="1" applyBorder="1" applyAlignment="1">
      <alignment horizontal="center" vertical="center"/>
    </xf>
    <xf numFmtId="0" fontId="97" fillId="89" borderId="131" xfId="0" applyFont="1" applyFill="1" applyBorder="1" applyAlignment="1">
      <alignment horizontal="center" vertical="center"/>
    </xf>
    <xf numFmtId="0" fontId="97" fillId="89" borderId="132" xfId="0" applyFont="1" applyFill="1" applyBorder="1" applyAlignment="1">
      <alignment horizontal="center" vertical="center"/>
    </xf>
    <xf numFmtId="0" fontId="97" fillId="89" borderId="133" xfId="0" applyFont="1" applyFill="1" applyBorder="1" applyAlignment="1">
      <alignment horizontal="center" vertical="center"/>
    </xf>
    <xf numFmtId="0" fontId="98" fillId="92" borderId="88" xfId="0" applyFont="1" applyFill="1" applyBorder="1" applyAlignment="1">
      <alignment horizontal="center" vertical="center"/>
    </xf>
    <xf numFmtId="0" fontId="157" fillId="92" borderId="83" xfId="0" applyFont="1" applyFill="1" applyBorder="1" applyAlignment="1">
      <alignment horizontal="center" vertical="center"/>
    </xf>
    <xf numFmtId="0" fontId="100" fillId="92" borderId="84" xfId="0" applyFont="1" applyFill="1" applyBorder="1" applyAlignment="1">
      <alignment horizontal="center" vertical="center"/>
    </xf>
    <xf numFmtId="0" fontId="100" fillId="88" borderId="84" xfId="0" applyFont="1" applyFill="1" applyBorder="1" applyAlignment="1">
      <alignment horizontal="center" vertical="center"/>
    </xf>
    <xf numFmtId="0" fontId="112" fillId="92" borderId="85" xfId="0" applyFont="1" applyFill="1" applyBorder="1" applyAlignment="1">
      <alignment horizontal="center" vertical="center"/>
    </xf>
    <xf numFmtId="0" fontId="112" fillId="92" borderId="86" xfId="0" applyFont="1" applyFill="1" applyBorder="1" applyAlignment="1">
      <alignment horizontal="center" vertical="center"/>
    </xf>
    <xf numFmtId="0" fontId="112" fillId="88" borderId="86" xfId="0" applyFont="1" applyFill="1" applyBorder="1" applyAlignment="1">
      <alignment horizontal="center" vertical="center"/>
    </xf>
    <xf numFmtId="0" fontId="112" fillId="92" borderId="83" xfId="0" applyFont="1" applyFill="1" applyBorder="1" applyAlignment="1">
      <alignment horizontal="center" vertical="center"/>
    </xf>
    <xf numFmtId="0" fontId="148" fillId="92" borderId="84" xfId="0" applyFont="1" applyFill="1" applyBorder="1" applyAlignment="1">
      <alignment horizontal="center" vertical="center"/>
    </xf>
    <xf numFmtId="0" fontId="112" fillId="92" borderId="84" xfId="0" applyFont="1" applyFill="1" applyBorder="1" applyAlignment="1">
      <alignment horizontal="center" vertical="center"/>
    </xf>
    <xf numFmtId="0" fontId="112" fillId="88" borderId="84" xfId="0" applyFont="1" applyFill="1" applyBorder="1" applyAlignment="1">
      <alignment horizontal="center" vertical="center"/>
    </xf>
    <xf numFmtId="0" fontId="148" fillId="88" borderId="84" xfId="0" applyFont="1" applyFill="1" applyBorder="1" applyAlignment="1">
      <alignment horizontal="center" vertical="center"/>
    </xf>
    <xf numFmtId="0" fontId="100" fillId="92" borderId="87" xfId="0" applyFont="1" applyFill="1" applyBorder="1" applyAlignment="1">
      <alignment horizontal="center" vertical="center"/>
    </xf>
    <xf numFmtId="0" fontId="112" fillId="92" borderId="88" xfId="0" applyFont="1" applyFill="1" applyBorder="1" applyAlignment="1">
      <alignment horizontal="center" vertical="center"/>
    </xf>
    <xf numFmtId="0" fontId="112" fillId="88" borderId="88" xfId="0" applyFont="1" applyFill="1" applyBorder="1" applyAlignment="1">
      <alignment horizontal="center" vertical="center"/>
    </xf>
    <xf numFmtId="0" fontId="100" fillId="92" borderId="86" xfId="0" applyFont="1" applyFill="1" applyBorder="1" applyAlignment="1">
      <alignment horizontal="center" vertical="center"/>
    </xf>
    <xf numFmtId="0" fontId="100" fillId="88" borderId="86" xfId="0" applyFont="1" applyFill="1" applyBorder="1" applyAlignment="1">
      <alignment horizontal="center" vertical="center"/>
    </xf>
    <xf numFmtId="0" fontId="100" fillId="92" borderId="88" xfId="0" applyFont="1" applyFill="1" applyBorder="1" applyAlignment="1">
      <alignment horizontal="center" vertical="center"/>
    </xf>
    <xf numFmtId="0" fontId="100" fillId="88" borderId="88" xfId="0" applyFont="1" applyFill="1" applyBorder="1" applyAlignment="1">
      <alignment horizontal="center" vertical="center"/>
    </xf>
    <xf numFmtId="0" fontId="112" fillId="92" borderId="87" xfId="0" applyFont="1" applyFill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97" fillId="89" borderId="134" xfId="0" applyFont="1" applyFill="1" applyBorder="1" applyAlignment="1">
      <alignment horizontal="center" vertical="center"/>
    </xf>
    <xf numFmtId="0" fontId="97" fillId="92" borderId="135" xfId="0" applyFont="1" applyFill="1" applyBorder="1" applyAlignment="1">
      <alignment horizontal="center" vertical="center"/>
    </xf>
    <xf numFmtId="0" fontId="97" fillId="92" borderId="136" xfId="0" applyFont="1" applyFill="1" applyBorder="1" applyAlignment="1">
      <alignment horizontal="center" vertical="center"/>
    </xf>
    <xf numFmtId="0" fontId="97" fillId="88" borderId="136" xfId="0" applyFont="1" applyFill="1" applyBorder="1" applyAlignment="1">
      <alignment horizontal="center" vertical="center"/>
    </xf>
    <xf numFmtId="0" fontId="97" fillId="89" borderId="136" xfId="0" applyFont="1" applyFill="1" applyBorder="1" applyAlignment="1">
      <alignment horizontal="center" vertical="center"/>
    </xf>
    <xf numFmtId="0" fontId="97" fillId="92" borderId="137" xfId="0" applyFont="1" applyFill="1" applyBorder="1" applyAlignment="1">
      <alignment horizontal="center" vertical="center"/>
    </xf>
    <xf numFmtId="0" fontId="97" fillId="92" borderId="138" xfId="0" applyFont="1" applyFill="1" applyBorder="1" applyAlignment="1">
      <alignment horizontal="center" vertical="center"/>
    </xf>
    <xf numFmtId="0" fontId="97" fillId="88" borderId="138" xfId="0" applyFont="1" applyFill="1" applyBorder="1" applyAlignment="1">
      <alignment horizontal="center" vertical="center"/>
    </xf>
    <xf numFmtId="0" fontId="97" fillId="89" borderId="138" xfId="0" applyFont="1" applyFill="1" applyBorder="1" applyAlignment="1">
      <alignment horizontal="center" vertical="center"/>
    </xf>
    <xf numFmtId="0" fontId="97" fillId="89" borderId="99" xfId="0" applyFont="1" applyFill="1" applyBorder="1" applyAlignment="1">
      <alignment horizontal="center" vertical="center"/>
    </xf>
    <xf numFmtId="0" fontId="97" fillId="89" borderId="102" xfId="0" applyFont="1" applyFill="1" applyBorder="1" applyAlignment="1">
      <alignment horizontal="center" vertical="center"/>
    </xf>
    <xf numFmtId="0" fontId="97" fillId="89" borderId="104" xfId="0" applyFont="1" applyFill="1" applyBorder="1" applyAlignment="1">
      <alignment horizontal="center" vertical="center"/>
    </xf>
    <xf numFmtId="0" fontId="10" fillId="43" borderId="97" xfId="0" applyFont="1" applyFill="1" applyBorder="1" applyAlignment="1">
      <alignment horizontal="center" vertical="center"/>
    </xf>
    <xf numFmtId="0" fontId="10" fillId="43" borderId="100" xfId="0" applyFont="1" applyFill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97" fillId="89" borderId="139" xfId="0" applyFont="1" applyFill="1" applyBorder="1" applyAlignment="1">
      <alignment horizontal="center" vertical="center"/>
    </xf>
    <xf numFmtId="0" fontId="97" fillId="89" borderId="140" xfId="0" applyFont="1" applyFill="1" applyBorder="1" applyAlignment="1">
      <alignment horizontal="center" vertical="center"/>
    </xf>
    <xf numFmtId="0" fontId="10" fillId="43" borderId="103" xfId="0" applyFont="1" applyFill="1" applyBorder="1" applyAlignment="1">
      <alignment horizontal="center" vertical="center"/>
    </xf>
    <xf numFmtId="0" fontId="97" fillId="92" borderId="144" xfId="0" applyFont="1" applyFill="1" applyBorder="1" applyAlignment="1">
      <alignment horizontal="center" vertical="center"/>
    </xf>
    <xf numFmtId="0" fontId="97" fillId="92" borderId="145" xfId="0" applyFont="1" applyFill="1" applyBorder="1" applyAlignment="1">
      <alignment horizontal="center" vertical="center"/>
    </xf>
    <xf numFmtId="0" fontId="97" fillId="88" borderId="145" xfId="0" applyFont="1" applyFill="1" applyBorder="1" applyAlignment="1">
      <alignment horizontal="center" vertical="center"/>
    </xf>
    <xf numFmtId="0" fontId="10" fillId="0" borderId="83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0" fillId="92" borderId="137" xfId="0" applyFont="1" applyFill="1" applyBorder="1" applyAlignment="1">
      <alignment horizontal="center" vertical="center"/>
    </xf>
    <xf numFmtId="0" fontId="10" fillId="92" borderId="138" xfId="0" applyFont="1" applyFill="1" applyBorder="1" applyAlignment="1">
      <alignment horizontal="center" vertical="center"/>
    </xf>
    <xf numFmtId="0" fontId="10" fillId="88" borderId="138" xfId="0" applyFont="1" applyFill="1" applyBorder="1" applyAlignment="1">
      <alignment horizontal="center" vertical="center"/>
    </xf>
    <xf numFmtId="0" fontId="10" fillId="89" borderId="138" xfId="0" applyFont="1" applyFill="1" applyBorder="1" applyAlignment="1">
      <alignment horizontal="center" vertical="center"/>
    </xf>
    <xf numFmtId="0" fontId="10" fillId="92" borderId="135" xfId="0" applyFont="1" applyFill="1" applyBorder="1" applyAlignment="1">
      <alignment horizontal="center" vertical="center"/>
    </xf>
    <xf numFmtId="0" fontId="10" fillId="92" borderId="136" xfId="0" applyFont="1" applyFill="1" applyBorder="1" applyAlignment="1">
      <alignment horizontal="center" vertical="center"/>
    </xf>
    <xf numFmtId="0" fontId="10" fillId="88" borderId="136" xfId="0" applyFont="1" applyFill="1" applyBorder="1" applyAlignment="1">
      <alignment horizontal="center" vertical="center"/>
    </xf>
    <xf numFmtId="0" fontId="10" fillId="89" borderId="136" xfId="0" applyFont="1" applyFill="1" applyBorder="1" applyAlignment="1">
      <alignment horizontal="center" vertical="center"/>
    </xf>
    <xf numFmtId="0" fontId="10" fillId="0" borderId="85" xfId="0" applyFont="1" applyBorder="1" applyAlignment="1">
      <alignment vertical="center" wrapText="1"/>
    </xf>
    <xf numFmtId="0" fontId="10" fillId="0" borderId="86" xfId="0" applyFont="1" applyBorder="1" applyAlignment="1">
      <alignment vertical="center" wrapText="1"/>
    </xf>
    <xf numFmtId="0" fontId="10" fillId="88" borderId="86" xfId="0" applyFont="1" applyFill="1" applyBorder="1" applyAlignment="1">
      <alignment horizontal="center" vertical="center"/>
    </xf>
    <xf numFmtId="0" fontId="10" fillId="92" borderId="87" xfId="0" applyFont="1" applyFill="1" applyBorder="1" applyAlignment="1">
      <alignment horizontal="center" vertical="center"/>
    </xf>
    <xf numFmtId="0" fontId="10" fillId="92" borderId="88" xfId="0" applyFont="1" applyFill="1" applyBorder="1" applyAlignment="1">
      <alignment horizontal="center" vertical="center"/>
    </xf>
    <xf numFmtId="0" fontId="10" fillId="88" borderId="88" xfId="0" applyFont="1" applyFill="1" applyBorder="1" applyAlignment="1">
      <alignment horizontal="center" vertical="center"/>
    </xf>
    <xf numFmtId="0" fontId="10" fillId="89" borderId="88" xfId="0" applyFont="1" applyFill="1" applyBorder="1" applyAlignment="1">
      <alignment horizontal="center" vertical="center"/>
    </xf>
    <xf numFmtId="0" fontId="10" fillId="92" borderId="141" xfId="0" applyFont="1" applyFill="1" applyBorder="1" applyAlignment="1">
      <alignment horizontal="center" vertical="center"/>
    </xf>
    <xf numFmtId="0" fontId="10" fillId="92" borderId="142" xfId="0" applyFont="1" applyFill="1" applyBorder="1" applyAlignment="1">
      <alignment horizontal="center" vertical="center"/>
    </xf>
    <xf numFmtId="0" fontId="10" fillId="88" borderId="142" xfId="0" applyFont="1" applyFill="1" applyBorder="1" applyAlignment="1">
      <alignment horizontal="center" vertical="center"/>
    </xf>
    <xf numFmtId="0" fontId="10" fillId="89" borderId="142" xfId="0" applyFont="1" applyFill="1" applyBorder="1" applyAlignment="1">
      <alignment horizontal="center" vertical="center"/>
    </xf>
    <xf numFmtId="0" fontId="10" fillId="0" borderId="87" xfId="0" applyFont="1" applyBorder="1" applyAlignment="1">
      <alignment vertical="center" wrapText="1"/>
    </xf>
    <xf numFmtId="0" fontId="10" fillId="0" borderId="88" xfId="0" applyFont="1" applyBorder="1" applyAlignment="1">
      <alignment vertical="center" wrapText="1"/>
    </xf>
    <xf numFmtId="0" fontId="10" fillId="88" borderId="139" xfId="0" applyFont="1" applyFill="1" applyBorder="1" applyAlignment="1">
      <alignment horizontal="center" vertical="center"/>
    </xf>
    <xf numFmtId="0" fontId="10" fillId="89" borderId="86" xfId="0" applyFont="1" applyFill="1" applyBorder="1" applyAlignment="1">
      <alignment horizontal="center" vertical="center"/>
    </xf>
    <xf numFmtId="0" fontId="10" fillId="88" borderId="133" xfId="0" applyFont="1" applyFill="1" applyBorder="1" applyAlignment="1">
      <alignment horizontal="center" vertical="center"/>
    </xf>
    <xf numFmtId="0" fontId="10" fillId="88" borderId="140" xfId="0" applyFont="1" applyFill="1" applyBorder="1" applyAlignment="1">
      <alignment horizontal="center" vertical="center"/>
    </xf>
    <xf numFmtId="0" fontId="10" fillId="0" borderId="138" xfId="0" applyFont="1" applyBorder="1" applyAlignment="1">
      <alignment vertical="center" wrapText="1"/>
    </xf>
    <xf numFmtId="0" fontId="10" fillId="88" borderId="143" xfId="0" applyFont="1" applyFill="1" applyBorder="1" applyAlignment="1">
      <alignment horizontal="center" vertical="center"/>
    </xf>
    <xf numFmtId="0" fontId="10" fillId="88" borderId="84" xfId="0" applyFont="1" applyFill="1" applyBorder="1" applyAlignment="1">
      <alignment horizontal="center" vertical="center"/>
    </xf>
    <xf numFmtId="0" fontId="10" fillId="89" borderId="84" xfId="0" applyFont="1" applyFill="1" applyBorder="1" applyAlignment="1">
      <alignment horizontal="center" vertical="center"/>
    </xf>
    <xf numFmtId="0" fontId="10" fillId="92" borderId="86" xfId="0" applyFont="1" applyFill="1" applyBorder="1" applyAlignment="1">
      <alignment horizontal="center" vertical="center"/>
    </xf>
    <xf numFmtId="0" fontId="97" fillId="92" borderId="146" xfId="0" applyFont="1" applyFill="1" applyBorder="1" applyAlignment="1">
      <alignment horizontal="center" vertical="center"/>
    </xf>
    <xf numFmtId="0" fontId="97" fillId="92" borderId="147" xfId="0" applyFont="1" applyFill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 wrapText="1"/>
    </xf>
    <xf numFmtId="0" fontId="100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 wrapText="1"/>
    </xf>
    <xf numFmtId="0" fontId="147" fillId="0" borderId="126" xfId="0" applyFont="1" applyBorder="1" applyAlignment="1">
      <alignment horizontal="center" vertical="center"/>
    </xf>
    <xf numFmtId="0" fontId="108" fillId="91" borderId="100" xfId="0" applyFont="1" applyFill="1" applyBorder="1" applyAlignment="1">
      <alignment horizontal="left" vertical="center"/>
    </xf>
    <xf numFmtId="0" fontId="108" fillId="91" borderId="101" xfId="0" applyFont="1" applyFill="1" applyBorder="1" applyAlignment="1">
      <alignment horizontal="left" vertical="center"/>
    </xf>
    <xf numFmtId="0" fontId="108" fillId="91" borderId="102" xfId="0" applyFont="1" applyFill="1" applyBorder="1" applyAlignment="1">
      <alignment horizontal="left" vertical="center"/>
    </xf>
    <xf numFmtId="0" fontId="159" fillId="0" borderId="76" xfId="0" applyFont="1" applyBorder="1" applyAlignment="1">
      <alignment horizontal="center" vertical="center" wrapText="1"/>
    </xf>
    <xf numFmtId="0" fontId="159" fillId="0" borderId="76" xfId="0" applyFont="1" applyBorder="1" applyAlignment="1">
      <alignment horizontal="center" vertical="center"/>
    </xf>
    <xf numFmtId="0" fontId="159" fillId="0" borderId="148" xfId="0" applyFont="1" applyBorder="1" applyAlignment="1">
      <alignment horizontal="center" vertical="center"/>
    </xf>
    <xf numFmtId="0" fontId="98" fillId="90" borderId="12" xfId="0" applyFont="1" applyFill="1" applyBorder="1" applyAlignment="1">
      <alignment horizontal="center" vertical="center"/>
    </xf>
    <xf numFmtId="0" fontId="97" fillId="88" borderId="14" xfId="0" applyFont="1" applyFill="1" applyBorder="1" applyAlignment="1">
      <alignment horizontal="center" vertical="center"/>
    </xf>
    <xf numFmtId="0" fontId="97" fillId="88" borderId="12" xfId="0" applyFont="1" applyFill="1" applyBorder="1" applyAlignment="1">
      <alignment horizontal="center" vertical="center"/>
    </xf>
    <xf numFmtId="0" fontId="114" fillId="88" borderId="14" xfId="0" applyFont="1" applyFill="1" applyBorder="1" applyAlignment="1">
      <alignment horizontal="center" vertical="center"/>
    </xf>
    <xf numFmtId="0" fontId="114" fillId="88" borderId="12" xfId="0" applyFont="1" applyFill="1" applyBorder="1" applyAlignment="1">
      <alignment horizontal="center" vertical="center"/>
    </xf>
    <xf numFmtId="0" fontId="114" fillId="88" borderId="96" xfId="0" applyFont="1" applyFill="1" applyBorder="1" applyAlignment="1">
      <alignment horizontal="center" vertical="center"/>
    </xf>
    <xf numFmtId="0" fontId="114" fillId="88" borderId="116" xfId="0" applyFont="1" applyFill="1" applyBorder="1" applyAlignment="1">
      <alignment horizontal="center" vertical="center"/>
    </xf>
    <xf numFmtId="0" fontId="97" fillId="88" borderId="116" xfId="0" applyFont="1" applyFill="1" applyBorder="1" applyAlignment="1">
      <alignment horizontal="center" vertical="center"/>
    </xf>
    <xf numFmtId="0" fontId="114" fillId="89" borderId="116" xfId="0" applyFont="1" applyFill="1" applyBorder="1" applyAlignment="1">
      <alignment horizontal="center" vertical="center"/>
    </xf>
    <xf numFmtId="0" fontId="97" fillId="89" borderId="116" xfId="0" applyFont="1" applyFill="1" applyBorder="1" applyAlignment="1">
      <alignment horizontal="center" vertical="center"/>
    </xf>
    <xf numFmtId="0" fontId="114" fillId="90" borderId="116" xfId="0" applyFont="1" applyFill="1" applyBorder="1" applyAlignment="1">
      <alignment horizontal="center" vertical="center"/>
    </xf>
    <xf numFmtId="0" fontId="97" fillId="90" borderId="116" xfId="0" applyFont="1" applyFill="1" applyBorder="1" applyAlignment="1">
      <alignment horizontal="center" vertical="center"/>
    </xf>
    <xf numFmtId="0" fontId="108" fillId="90" borderId="153" xfId="0" applyFont="1" applyFill="1" applyBorder="1" applyAlignment="1">
      <alignment horizontal="left" vertical="center"/>
    </xf>
    <xf numFmtId="0" fontId="108" fillId="90" borderId="155" xfId="0" applyFont="1" applyFill="1" applyBorder="1" applyAlignment="1">
      <alignment horizontal="left" vertical="center"/>
    </xf>
    <xf numFmtId="0" fontId="108" fillId="90" borderId="154" xfId="0" applyFont="1" applyFill="1" applyBorder="1" applyAlignment="1">
      <alignment horizontal="left" vertical="center"/>
    </xf>
    <xf numFmtId="0" fontId="114" fillId="91" borderId="116" xfId="0" applyFont="1" applyFill="1" applyBorder="1" applyAlignment="1">
      <alignment horizontal="center" vertical="center"/>
    </xf>
    <xf numFmtId="0" fontId="97" fillId="91" borderId="116" xfId="0" applyFont="1" applyFill="1" applyBorder="1" applyAlignment="1">
      <alignment horizontal="center" vertical="center"/>
    </xf>
    <xf numFmtId="0" fontId="108" fillId="91" borderId="153" xfId="0" applyFont="1" applyFill="1" applyBorder="1" applyAlignment="1">
      <alignment horizontal="left" vertical="center"/>
    </xf>
    <xf numFmtId="0" fontId="108" fillId="91" borderId="155" xfId="0" applyFont="1" applyFill="1" applyBorder="1" applyAlignment="1">
      <alignment horizontal="left" vertical="center"/>
    </xf>
    <xf numFmtId="0" fontId="108" fillId="91" borderId="154" xfId="0" applyFont="1" applyFill="1" applyBorder="1" applyAlignment="1">
      <alignment horizontal="left" vertical="center"/>
    </xf>
    <xf numFmtId="0" fontId="5" fillId="96" borderId="121" xfId="0" applyFont="1" applyFill="1" applyBorder="1" applyAlignment="1">
      <alignment horizontal="center" vertical="center"/>
    </xf>
    <xf numFmtId="0" fontId="5" fillId="77" borderId="121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/>
    </xf>
    <xf numFmtId="0" fontId="5" fillId="96" borderId="121" xfId="0" applyFont="1" applyFill="1" applyBorder="1" applyAlignment="1">
      <alignment horizontal="center" vertical="center" wrapText="1"/>
    </xf>
    <xf numFmtId="0" fontId="100" fillId="96" borderId="121" xfId="0" applyFont="1" applyFill="1" applyBorder="1" applyAlignment="1">
      <alignment horizontal="center" vertical="center"/>
    </xf>
    <xf numFmtId="0" fontId="5" fillId="77" borderId="14" xfId="0" applyFont="1" applyFill="1" applyBorder="1" applyAlignment="1">
      <alignment horizontal="center" vertical="center"/>
    </xf>
    <xf numFmtId="0" fontId="5" fillId="77" borderId="125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 wrapText="1"/>
    </xf>
    <xf numFmtId="0" fontId="5" fillId="77" borderId="12" xfId="0" applyFont="1" applyFill="1" applyBorder="1" applyAlignment="1">
      <alignment horizontal="center" vertical="center"/>
    </xf>
    <xf numFmtId="0" fontId="100" fillId="77" borderId="12" xfId="0" applyFont="1" applyFill="1" applyBorder="1" applyAlignment="1">
      <alignment horizontal="center" vertical="center"/>
    </xf>
    <xf numFmtId="0" fontId="5" fillId="77" borderId="114" xfId="0" applyFont="1" applyFill="1" applyBorder="1" applyAlignment="1">
      <alignment horizontal="center" vertical="center"/>
    </xf>
    <xf numFmtId="0" fontId="100" fillId="96" borderId="12" xfId="0" applyFont="1" applyFill="1" applyBorder="1" applyAlignment="1">
      <alignment horizontal="center" vertical="center"/>
    </xf>
    <xf numFmtId="0" fontId="5" fillId="96" borderId="13" xfId="0" applyFont="1" applyFill="1" applyBorder="1" applyAlignment="1">
      <alignment horizontal="center" vertical="center"/>
    </xf>
    <xf numFmtId="0" fontId="5" fillId="77" borderId="13" xfId="0" applyFont="1" applyFill="1" applyBorder="1" applyAlignment="1">
      <alignment horizontal="center" vertical="center"/>
    </xf>
    <xf numFmtId="0" fontId="5" fillId="77" borderId="126" xfId="0" applyFont="1" applyFill="1" applyBorder="1" applyAlignment="1">
      <alignment horizontal="center" vertical="center"/>
    </xf>
    <xf numFmtId="0" fontId="5" fillId="96" borderId="114" xfId="0" applyFont="1" applyFill="1" applyBorder="1" applyAlignment="1">
      <alignment horizontal="center" vertical="center"/>
    </xf>
    <xf numFmtId="0" fontId="5" fillId="96" borderId="126" xfId="0" applyFont="1" applyFill="1" applyBorder="1" applyAlignment="1">
      <alignment horizontal="center" vertical="center"/>
    </xf>
    <xf numFmtId="0" fontId="100" fillId="97" borderId="14" xfId="0" applyFont="1" applyFill="1" applyBorder="1" applyAlignment="1">
      <alignment horizontal="center" vertical="center"/>
    </xf>
    <xf numFmtId="0" fontId="146" fillId="97" borderId="14" xfId="0" applyFont="1" applyFill="1" applyBorder="1" applyAlignment="1">
      <alignment horizontal="center" vertical="center"/>
    </xf>
    <xf numFmtId="0" fontId="100" fillId="97" borderId="125" xfId="0" applyFont="1" applyFill="1" applyBorder="1" applyAlignment="1">
      <alignment horizontal="center" vertical="center"/>
    </xf>
    <xf numFmtId="0" fontId="100" fillId="97" borderId="121" xfId="0" applyFont="1" applyFill="1" applyBorder="1" applyAlignment="1">
      <alignment horizontal="left" vertical="center"/>
    </xf>
    <xf numFmtId="0" fontId="100" fillId="97" borderId="121" xfId="0" applyFont="1" applyFill="1" applyBorder="1" applyAlignment="1">
      <alignment horizontal="center" vertical="center"/>
    </xf>
    <xf numFmtId="0" fontId="146" fillId="97" borderId="121" xfId="0" applyFont="1" applyFill="1" applyBorder="1" applyAlignment="1">
      <alignment horizontal="center" vertical="center"/>
    </xf>
    <xf numFmtId="0" fontId="146" fillId="97" borderId="12" xfId="0" applyFont="1" applyFill="1" applyBorder="1" applyAlignment="1">
      <alignment horizontal="center" vertical="center"/>
    </xf>
    <xf numFmtId="0" fontId="100" fillId="97" borderId="12" xfId="0" applyFont="1" applyFill="1" applyBorder="1" applyAlignment="1">
      <alignment horizontal="left" vertical="center"/>
    </xf>
    <xf numFmtId="0" fontId="100" fillId="97" borderId="12" xfId="0" applyFont="1" applyFill="1" applyBorder="1" applyAlignment="1">
      <alignment horizontal="center" vertical="center"/>
    </xf>
    <xf numFmtId="0" fontId="146" fillId="97" borderId="114" xfId="0" applyFont="1" applyFill="1" applyBorder="1" applyAlignment="1">
      <alignment horizontal="center" vertical="center"/>
    </xf>
    <xf numFmtId="0" fontId="100" fillId="97" borderId="116" xfId="0" applyFont="1" applyFill="1" applyBorder="1" applyAlignment="1">
      <alignment horizontal="left" vertical="center"/>
    </xf>
    <xf numFmtId="0" fontId="100" fillId="97" borderId="116" xfId="0" applyFont="1" applyFill="1" applyBorder="1" applyAlignment="1">
      <alignment horizontal="center" vertical="center"/>
    </xf>
    <xf numFmtId="0" fontId="146" fillId="97" borderId="116" xfId="0" applyFont="1" applyFill="1" applyBorder="1" applyAlignment="1">
      <alignment horizontal="center" vertical="center"/>
    </xf>
    <xf numFmtId="0" fontId="146" fillId="97" borderId="117" xfId="0" applyFont="1" applyFill="1" applyBorder="1" applyAlignment="1">
      <alignment horizontal="center" vertical="center"/>
    </xf>
    <xf numFmtId="0" fontId="0" fillId="0" borderId="94" xfId="0" applyBorder="1"/>
    <xf numFmtId="0" fontId="129" fillId="0" borderId="157" xfId="0" applyFont="1" applyBorder="1" applyAlignment="1">
      <alignment horizontal="right"/>
    </xf>
    <xf numFmtId="0" fontId="5" fillId="98" borderId="130" xfId="0" applyFont="1" applyFill="1" applyBorder="1" applyAlignment="1">
      <alignment horizontal="center" vertical="center"/>
    </xf>
    <xf numFmtId="0" fontId="5" fillId="99" borderId="14" xfId="0" applyFont="1" applyFill="1" applyBorder="1" applyAlignment="1">
      <alignment horizontal="center" vertical="center"/>
    </xf>
    <xf numFmtId="0" fontId="161" fillId="0" borderId="78" xfId="0" applyFont="1" applyBorder="1" applyAlignment="1">
      <alignment horizontal="center" vertical="center" wrapText="1"/>
    </xf>
    <xf numFmtId="0" fontId="161" fillId="0" borderId="149" xfId="0" applyFont="1" applyBorder="1" applyAlignment="1">
      <alignment horizontal="center" vertical="center" wrapText="1"/>
    </xf>
    <xf numFmtId="0" fontId="147" fillId="87" borderId="129" xfId="0" applyFont="1" applyFill="1" applyBorder="1" applyAlignment="1">
      <alignment horizontal="center" vertical="center" wrapText="1"/>
    </xf>
    <xf numFmtId="0" fontId="147" fillId="87" borderId="127" xfId="0" applyFont="1" applyFill="1" applyBorder="1" applyAlignment="1">
      <alignment horizontal="center" vertical="center" wrapText="1"/>
    </xf>
    <xf numFmtId="0" fontId="147" fillId="87" borderId="128" xfId="0" applyFont="1" applyFill="1" applyBorder="1" applyAlignment="1">
      <alignment horizontal="center" vertical="center" wrapText="1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22" fillId="89" borderId="100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98" fillId="75" borderId="31" xfId="0" applyFont="1" applyFill="1" applyBorder="1" applyAlignment="1">
      <alignment horizontal="center" vertical="center" shrinkToFit="1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5" fillId="99" borderId="125" xfId="0" applyFont="1" applyFill="1" applyBorder="1" applyAlignment="1">
      <alignment horizontal="center" vertical="center"/>
    </xf>
    <xf numFmtId="0" fontId="147" fillId="0" borderId="158" xfId="0" applyFont="1" applyBorder="1" applyAlignment="1">
      <alignment horizontal="center" vertical="center" wrapText="1"/>
    </xf>
    <xf numFmtId="0" fontId="147" fillId="0" borderId="159" xfId="0" applyFont="1" applyBorder="1" applyAlignment="1">
      <alignment horizontal="center" vertical="center" wrapText="1"/>
    </xf>
    <xf numFmtId="0" fontId="147" fillId="87" borderId="160" xfId="0" applyFont="1" applyFill="1" applyBorder="1" applyAlignment="1">
      <alignment horizontal="center" vertical="center" wrapText="1"/>
    </xf>
    <xf numFmtId="0" fontId="147" fillId="87" borderId="158" xfId="0" applyFont="1" applyFill="1" applyBorder="1" applyAlignment="1">
      <alignment horizontal="center" vertical="center" wrapText="1"/>
    </xf>
    <xf numFmtId="0" fontId="147" fillId="87" borderId="159" xfId="0" applyFont="1" applyFill="1" applyBorder="1" applyAlignment="1">
      <alignment horizontal="center" vertical="center" wrapText="1"/>
    </xf>
    <xf numFmtId="0" fontId="147" fillId="0" borderId="160" xfId="0" applyFont="1" applyBorder="1" applyAlignment="1">
      <alignment horizontal="center" vertical="center" wrapText="1"/>
    </xf>
    <xf numFmtId="0" fontId="146" fillId="0" borderId="109" xfId="0" applyFont="1" applyBorder="1" applyAlignment="1">
      <alignment horizontal="center" vertical="center"/>
    </xf>
    <xf numFmtId="0" fontId="110" fillId="0" borderId="0" xfId="0" applyFont="1" applyBorder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0" fontId="98" fillId="0" borderId="0" xfId="0" applyFont="1" applyBorder="1" applyAlignment="1">
      <alignment horizontal="center" vertical="center" shrinkToFit="1"/>
    </xf>
    <xf numFmtId="0" fontId="100" fillId="0" borderId="0" xfId="0" applyFont="1" applyBorder="1" applyAlignment="1">
      <alignment horizontal="left" vertical="center"/>
    </xf>
    <xf numFmtId="0" fontId="100" fillId="0" borderId="0" xfId="0" applyFont="1" applyBorder="1" applyAlignment="1">
      <alignment horizontal="center" vertical="center"/>
    </xf>
    <xf numFmtId="0" fontId="146" fillId="0" borderId="0" xfId="0" applyFont="1" applyBorder="1" applyAlignment="1">
      <alignment horizontal="center" vertical="center"/>
    </xf>
    <xf numFmtId="0" fontId="146" fillId="0" borderId="16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3" fillId="0" borderId="0" xfId="0" applyFont="1" applyAlignment="1">
      <alignment horizontal="center"/>
    </xf>
    <xf numFmtId="164" fontId="133" fillId="75" borderId="15" xfId="0" applyNumberFormat="1" applyFont="1" applyFill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7" xfId="0" applyFont="1" applyBorder="1" applyAlignment="1">
      <alignment horizontal="center"/>
    </xf>
    <xf numFmtId="0" fontId="133" fillId="75" borderId="15" xfId="0" applyFont="1" applyFill="1" applyBorder="1" applyAlignment="1">
      <alignment horizontal="center"/>
    </xf>
    <xf numFmtId="0" fontId="134" fillId="0" borderId="16" xfId="0" applyFont="1" applyBorder="1" applyAlignment="1">
      <alignment horizontal="left" vertical="center"/>
    </xf>
    <xf numFmtId="0" fontId="134" fillId="0" borderId="38" xfId="0" applyFont="1" applyBorder="1" applyAlignment="1">
      <alignment horizontal="left" vertical="center"/>
    </xf>
    <xf numFmtId="0" fontId="134" fillId="0" borderId="37" xfId="0" applyFont="1" applyBorder="1" applyAlignment="1">
      <alignment horizontal="left" vertical="center"/>
    </xf>
    <xf numFmtId="0" fontId="133" fillId="0" borderId="10" xfId="0" applyFont="1" applyBorder="1" applyAlignment="1">
      <alignment horizontal="center" vertical="center"/>
    </xf>
    <xf numFmtId="0" fontId="135" fillId="0" borderId="16" xfId="0" applyFont="1" applyBorder="1" applyAlignment="1">
      <alignment horizontal="left" vertical="center"/>
    </xf>
    <xf numFmtId="0" fontId="135" fillId="0" borderId="38" xfId="0" applyFont="1" applyBorder="1" applyAlignment="1">
      <alignment horizontal="left" vertical="center"/>
    </xf>
    <xf numFmtId="0" fontId="135" fillId="0" borderId="37" xfId="0" applyFont="1" applyBorder="1" applyAlignment="1">
      <alignment horizontal="left" vertical="center"/>
    </xf>
    <xf numFmtId="0" fontId="136" fillId="0" borderId="10" xfId="0" applyFont="1" applyBorder="1" applyAlignment="1">
      <alignment horizontal="center" vertical="center"/>
    </xf>
    <xf numFmtId="0" fontId="115" fillId="0" borderId="16" xfId="0" applyFont="1" applyBorder="1" applyAlignment="1">
      <alignment horizontal="center" vertical="center"/>
    </xf>
    <xf numFmtId="0" fontId="115" fillId="0" borderId="38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0" fontId="133" fillId="0" borderId="16" xfId="0" applyFont="1" applyBorder="1" applyAlignment="1">
      <alignment horizontal="center" vertical="center"/>
    </xf>
    <xf numFmtId="0" fontId="133" fillId="0" borderId="38" xfId="0" applyFont="1" applyBorder="1" applyAlignment="1">
      <alignment horizontal="center" vertical="center"/>
    </xf>
    <xf numFmtId="0" fontId="133" fillId="0" borderId="37" xfId="0" applyFont="1" applyBorder="1" applyAlignment="1">
      <alignment horizontal="center" vertical="center"/>
    </xf>
    <xf numFmtId="0" fontId="136" fillId="0" borderId="16" xfId="0" applyFont="1" applyBorder="1" applyAlignment="1">
      <alignment horizontal="center" vertical="center"/>
    </xf>
    <xf numFmtId="0" fontId="136" fillId="0" borderId="38" xfId="0" applyFont="1" applyBorder="1" applyAlignment="1">
      <alignment horizontal="center" vertical="center"/>
    </xf>
    <xf numFmtId="0" fontId="136" fillId="0" borderId="37" xfId="0" applyFont="1" applyBorder="1" applyAlignment="1">
      <alignment horizontal="center" vertical="center"/>
    </xf>
    <xf numFmtId="0" fontId="116" fillId="0" borderId="16" xfId="0" applyFont="1" applyBorder="1" applyAlignment="1">
      <alignment horizontal="center" vertical="center"/>
    </xf>
    <xf numFmtId="0" fontId="116" fillId="0" borderId="38" xfId="0" applyFont="1" applyBorder="1" applyAlignment="1">
      <alignment horizontal="center" vertical="center"/>
    </xf>
    <xf numFmtId="0" fontId="116" fillId="0" borderId="37" xfId="0" applyFont="1" applyBorder="1" applyAlignment="1">
      <alignment horizontal="center" vertical="center"/>
    </xf>
    <xf numFmtId="164" fontId="97" fillId="79" borderId="16" xfId="0" applyNumberFormat="1" applyFont="1" applyFill="1" applyBorder="1" applyAlignment="1">
      <alignment horizontal="center" vertical="center"/>
    </xf>
    <xf numFmtId="164" fontId="97" fillId="79" borderId="37" xfId="0" applyNumberFormat="1" applyFont="1" applyFill="1" applyBorder="1" applyAlignment="1">
      <alignment horizontal="center" vertical="center"/>
    </xf>
    <xf numFmtId="164" fontId="98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vertical="center"/>
    </xf>
    <xf numFmtId="1" fontId="98" fillId="79" borderId="37" xfId="0" applyNumberFormat="1" applyFont="1" applyFill="1" applyBorder="1" applyAlignment="1">
      <alignment horizontal="center" vertical="center"/>
    </xf>
    <xf numFmtId="0" fontId="97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right" shrinkToFit="1"/>
    </xf>
    <xf numFmtId="0" fontId="24" fillId="79" borderId="10" xfId="0" applyFont="1" applyFill="1" applyBorder="1" applyAlignment="1">
      <alignment horizontal="center" vertical="center" wrapText="1"/>
    </xf>
    <xf numFmtId="0" fontId="20" fillId="79" borderId="10" xfId="0" applyFont="1" applyFill="1" applyBorder="1" applyAlignment="1">
      <alignment horizontal="center" shrinkToFit="1"/>
    </xf>
    <xf numFmtId="0" fontId="113" fillId="79" borderId="16" xfId="0" applyFont="1" applyFill="1" applyBorder="1" applyAlignment="1">
      <alignment horizontal="center" shrinkToFit="1"/>
    </xf>
    <xf numFmtId="0" fontId="113" fillId="79" borderId="37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/>
    </xf>
    <xf numFmtId="0" fontId="114" fillId="95" borderId="10" xfId="0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 wrapText="1"/>
    </xf>
    <xf numFmtId="0" fontId="96" fillId="79" borderId="10" xfId="0" applyFont="1" applyFill="1" applyBorder="1" applyAlignment="1">
      <alignment horizontal="center" shrinkToFit="1"/>
    </xf>
    <xf numFmtId="0" fontId="98" fillId="79" borderId="16" xfId="0" applyFont="1" applyFill="1" applyBorder="1" applyAlignment="1">
      <alignment horizontal="center" shrinkToFit="1"/>
    </xf>
    <xf numFmtId="0" fontId="98" fillId="79" borderId="37" xfId="0" applyFont="1" applyFill="1" applyBorder="1" applyAlignment="1">
      <alignment horizontal="center" shrinkToFit="1"/>
    </xf>
    <xf numFmtId="0" fontId="114" fillId="79" borderId="16" xfId="0" applyFont="1" applyFill="1" applyBorder="1" applyAlignment="1">
      <alignment horizontal="center" shrinkToFit="1"/>
    </xf>
    <xf numFmtId="0" fontId="114" fillId="79" borderId="37" xfId="0" applyFont="1" applyFill="1" applyBorder="1" applyAlignment="1">
      <alignment horizontal="center" shrinkToFit="1"/>
    </xf>
    <xf numFmtId="0" fontId="98" fillId="79" borderId="16" xfId="0" applyFont="1" applyFill="1" applyBorder="1" applyAlignment="1">
      <alignment horizontal="center"/>
    </xf>
    <xf numFmtId="0" fontId="98" fillId="79" borderId="37" xfId="0" applyFont="1" applyFill="1" applyBorder="1" applyAlignment="1">
      <alignment horizontal="center"/>
    </xf>
    <xf numFmtId="0" fontId="114" fillId="95" borderId="16" xfId="0" applyFont="1" applyFill="1" applyBorder="1" applyAlignment="1">
      <alignment horizontal="center" shrinkToFit="1"/>
    </xf>
    <xf numFmtId="0" fontId="114" fillId="95" borderId="37" xfId="0" applyFont="1" applyFill="1" applyBorder="1" applyAlignment="1">
      <alignment horizontal="center" shrinkToFit="1"/>
    </xf>
    <xf numFmtId="0" fontId="97" fillId="79" borderId="16" xfId="0" applyFont="1" applyFill="1" applyBorder="1" applyAlignment="1">
      <alignment horizontal="center" vertical="center" wrapText="1"/>
    </xf>
    <xf numFmtId="0" fontId="97" fillId="79" borderId="38" xfId="0" applyFont="1" applyFill="1" applyBorder="1" applyAlignment="1">
      <alignment horizontal="center" vertical="center" wrapText="1"/>
    </xf>
    <xf numFmtId="0" fontId="97" fillId="79" borderId="16" xfId="0" applyFont="1" applyFill="1" applyBorder="1" applyAlignment="1">
      <alignment horizontal="center"/>
    </xf>
    <xf numFmtId="0" fontId="97" fillId="79" borderId="37" xfId="0" applyFont="1" applyFill="1" applyBorder="1" applyAlignment="1">
      <alignment horizontal="center"/>
    </xf>
    <xf numFmtId="0" fontId="20" fillId="79" borderId="10" xfId="0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shrinkToFit="1"/>
    </xf>
    <xf numFmtId="0" fontId="97" fillId="79" borderId="37" xfId="0" applyFont="1" applyFill="1" applyBorder="1" applyAlignment="1">
      <alignment horizontal="center" shrinkToFit="1"/>
    </xf>
    <xf numFmtId="0" fontId="28" fillId="79" borderId="10" xfId="0" applyFont="1" applyFill="1" applyBorder="1" applyAlignment="1">
      <alignment horizontal="center" vertical="center" shrinkToFit="1"/>
    </xf>
    <xf numFmtId="0" fontId="24" fillId="79" borderId="10" xfId="0" applyFont="1" applyFill="1" applyBorder="1" applyAlignment="1">
      <alignment horizontal="center" vertical="center"/>
    </xf>
    <xf numFmtId="0" fontId="142" fillId="79" borderId="16" xfId="0" applyFont="1" applyFill="1" applyBorder="1" applyAlignment="1">
      <alignment horizontal="center" shrinkToFit="1"/>
    </xf>
    <xf numFmtId="0" fontId="142" fillId="79" borderId="37" xfId="0" applyFont="1" applyFill="1" applyBorder="1" applyAlignment="1">
      <alignment horizontal="center" shrinkToFit="1"/>
    </xf>
    <xf numFmtId="0" fontId="10" fillId="79" borderId="10" xfId="0" applyFont="1" applyFill="1" applyBorder="1" applyAlignment="1">
      <alignment horizontal="center" shrinkToFit="1"/>
    </xf>
    <xf numFmtId="0" fontId="97" fillId="95" borderId="10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shrinkToFit="1"/>
    </xf>
    <xf numFmtId="2" fontId="98" fillId="75" borderId="10" xfId="0" applyNumberFormat="1" applyFont="1" applyFill="1" applyBorder="1" applyAlignment="1">
      <alignment horizontal="center" shrinkToFit="1"/>
    </xf>
    <xf numFmtId="0" fontId="98" fillId="75" borderId="10" xfId="0" applyFont="1" applyFill="1" applyBorder="1" applyAlignment="1">
      <alignment horizontal="center" shrinkToFit="1"/>
    </xf>
    <xf numFmtId="164" fontId="98" fillId="79" borderId="16" xfId="0" applyNumberFormat="1" applyFont="1" applyFill="1" applyBorder="1" applyAlignment="1">
      <alignment horizontal="center" shrinkToFit="1"/>
    </xf>
    <xf numFmtId="164" fontId="98" fillId="79" borderId="37" xfId="0" applyNumberFormat="1" applyFont="1" applyFill="1" applyBorder="1" applyAlignment="1">
      <alignment horizontal="center" shrinkToFit="1"/>
    </xf>
    <xf numFmtId="164" fontId="97" fillId="79" borderId="10" xfId="0" applyNumberFormat="1" applyFont="1" applyFill="1" applyBorder="1" applyAlignment="1">
      <alignment horizontal="center" shrinkToFit="1"/>
    </xf>
    <xf numFmtId="0" fontId="24" fillId="75" borderId="16" xfId="0" applyFont="1" applyFill="1" applyBorder="1" applyAlignment="1">
      <alignment horizontal="center" shrinkToFit="1"/>
    </xf>
    <xf numFmtId="0" fontId="24" fillId="75" borderId="38" xfId="0" applyFont="1" applyFill="1" applyBorder="1" applyAlignment="1">
      <alignment horizontal="center" shrinkToFit="1"/>
    </xf>
    <xf numFmtId="0" fontId="24" fillId="75" borderId="37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right" shrinkToFit="1"/>
    </xf>
    <xf numFmtId="164" fontId="98" fillId="75" borderId="10" xfId="0" applyNumberFormat="1" applyFont="1" applyFill="1" applyBorder="1" applyAlignment="1">
      <alignment horizontal="center" shrinkToFit="1"/>
    </xf>
    <xf numFmtId="0" fontId="20" fillId="15" borderId="10" xfId="0" applyFont="1" applyFill="1" applyBorder="1" applyAlignment="1">
      <alignment horizontal="center" vertical="center" textRotation="90"/>
    </xf>
    <xf numFmtId="0" fontId="24" fillId="15" borderId="10" xfId="0" applyFont="1" applyFill="1" applyBorder="1" applyAlignment="1">
      <alignment horizontal="center" vertical="center"/>
    </xf>
    <xf numFmtId="0" fontId="10" fillId="79" borderId="10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/>
    </xf>
    <xf numFmtId="0" fontId="24" fillId="15" borderId="38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 wrapText="1"/>
    </xf>
    <xf numFmtId="0" fontId="98" fillId="79" borderId="16" xfId="0" applyFont="1" applyFill="1" applyBorder="1" applyAlignment="1">
      <alignment horizontal="center" vertical="center" wrapText="1"/>
    </xf>
    <xf numFmtId="0" fontId="98" fillId="79" borderId="38" xfId="0" applyFont="1" applyFill="1" applyBorder="1" applyAlignment="1">
      <alignment horizontal="center" vertical="center" wrapText="1"/>
    </xf>
    <xf numFmtId="0" fontId="98" fillId="79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8" fillId="79" borderId="16" xfId="0" applyNumberFormat="1" applyFont="1" applyFill="1" applyBorder="1" applyAlignment="1">
      <alignment horizontal="center" vertical="center"/>
    </xf>
    <xf numFmtId="164" fontId="98" fillId="79" borderId="37" xfId="0" applyNumberFormat="1" applyFont="1" applyFill="1" applyBorder="1" applyAlignment="1">
      <alignment horizontal="center" vertical="center"/>
    </xf>
    <xf numFmtId="0" fontId="102" fillId="0" borderId="16" xfId="0" applyFont="1" applyBorder="1" applyAlignment="1">
      <alignment horizontal="center"/>
    </xf>
    <xf numFmtId="0" fontId="102" fillId="0" borderId="38" xfId="0" applyFont="1" applyBorder="1" applyAlignment="1">
      <alignment horizontal="center"/>
    </xf>
    <xf numFmtId="0" fontId="102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7" fillId="79" borderId="16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4" fillId="79" borderId="16" xfId="0" applyFont="1" applyFill="1" applyBorder="1" applyAlignment="1">
      <alignment horizontal="center" vertical="center" wrapText="1"/>
    </xf>
    <xf numFmtId="0" fontId="24" fillId="79" borderId="38" xfId="0" applyFont="1" applyFill="1" applyBorder="1" applyAlignment="1">
      <alignment horizontal="center" vertical="center" wrapText="1"/>
    </xf>
    <xf numFmtId="0" fontId="24" fillId="79" borderId="37" xfId="0" applyFont="1" applyFill="1" applyBorder="1" applyAlignment="1">
      <alignment horizontal="center" vertical="center" wrapText="1"/>
    </xf>
    <xf numFmtId="164" fontId="98" fillId="79" borderId="16" xfId="0" applyNumberFormat="1" applyFont="1" applyFill="1" applyBorder="1" applyAlignment="1">
      <alignment horizontal="center"/>
    </xf>
    <xf numFmtId="164" fontId="98" fillId="79" borderId="37" xfId="0" applyNumberFormat="1" applyFont="1" applyFill="1" applyBorder="1" applyAlignment="1">
      <alignment horizontal="center"/>
    </xf>
    <xf numFmtId="164" fontId="97" fillId="79" borderId="16" xfId="0" applyNumberFormat="1" applyFont="1" applyFill="1" applyBorder="1" applyAlignment="1">
      <alignment horizontal="center"/>
    </xf>
    <xf numFmtId="164" fontId="97" fillId="79" borderId="37" xfId="0" applyNumberFormat="1" applyFont="1" applyFill="1" applyBorder="1" applyAlignment="1">
      <alignment horizontal="center"/>
    </xf>
    <xf numFmtId="0" fontId="98" fillId="79" borderId="38" xfId="0" applyFont="1" applyFill="1" applyBorder="1" applyAlignment="1">
      <alignment horizontal="center"/>
    </xf>
    <xf numFmtId="0" fontId="98" fillId="79" borderId="16" xfId="0" applyFont="1" applyFill="1" applyBorder="1" applyAlignment="1">
      <alignment horizontal="center" vertical="center"/>
    </xf>
    <xf numFmtId="0" fontId="98" fillId="79" borderId="37" xfId="0" applyFont="1" applyFill="1" applyBorder="1" applyAlignment="1">
      <alignment horizontal="center" vertical="center"/>
    </xf>
    <xf numFmtId="0" fontId="98" fillId="79" borderId="55" xfId="0" applyFont="1" applyFill="1" applyBorder="1" applyAlignment="1">
      <alignment horizontal="center" vertical="center"/>
    </xf>
    <xf numFmtId="0" fontId="98" fillId="79" borderId="15" xfId="0" applyFont="1" applyFill="1" applyBorder="1" applyAlignment="1">
      <alignment horizontal="center" vertical="center"/>
    </xf>
    <xf numFmtId="0" fontId="98" fillId="79" borderId="36" xfId="0" applyFont="1" applyFill="1" applyBorder="1" applyAlignment="1">
      <alignment horizontal="center" vertical="center"/>
    </xf>
    <xf numFmtId="0" fontId="98" fillId="79" borderId="42" xfId="0" applyFont="1" applyFill="1" applyBorder="1" applyAlignment="1">
      <alignment horizontal="center" vertical="center"/>
    </xf>
    <xf numFmtId="0" fontId="98" fillId="79" borderId="17" xfId="0" applyFont="1" applyFill="1" applyBorder="1" applyAlignment="1">
      <alignment horizontal="center" vertical="center"/>
    </xf>
    <xf numFmtId="0" fontId="98" fillId="79" borderId="54" xfId="0" applyFont="1" applyFill="1" applyBorder="1" applyAlignment="1">
      <alignment horizontal="center" vertical="center"/>
    </xf>
    <xf numFmtId="164" fontId="24" fillId="79" borderId="16" xfId="0" applyNumberFormat="1" applyFont="1" applyFill="1" applyBorder="1" applyAlignment="1">
      <alignment horizontal="center"/>
    </xf>
    <xf numFmtId="0" fontId="24" fillId="79" borderId="38" xfId="0" applyFont="1" applyFill="1" applyBorder="1" applyAlignment="1">
      <alignment horizontal="center"/>
    </xf>
    <xf numFmtId="0" fontId="24" fillId="79" borderId="37" xfId="0" applyFont="1" applyFill="1" applyBorder="1" applyAlignment="1">
      <alignment horizontal="center"/>
    </xf>
    <xf numFmtId="164" fontId="117" fillId="0" borderId="62" xfId="0" applyNumberFormat="1" applyFont="1" applyBorder="1" applyAlignment="1">
      <alignment horizontal="left" vertical="center"/>
    </xf>
    <xf numFmtId="0" fontId="117" fillId="0" borderId="0" xfId="0" applyFont="1" applyAlignment="1">
      <alignment horizontal="left" vertical="center"/>
    </xf>
    <xf numFmtId="0" fontId="117" fillId="0" borderId="62" xfId="0" applyFont="1" applyBorder="1" applyAlignment="1">
      <alignment horizontal="left" vertical="center"/>
    </xf>
    <xf numFmtId="0" fontId="35" fillId="0" borderId="6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6" fillId="43" borderId="47" xfId="0" applyFont="1" applyFill="1" applyBorder="1" applyAlignment="1">
      <alignment horizontal="center" vertical="center"/>
    </xf>
    <xf numFmtId="0" fontId="16" fillId="43" borderId="44" xfId="0" applyFont="1" applyFill="1" applyBorder="1" applyAlignment="1">
      <alignment horizontal="center" vertical="center"/>
    </xf>
    <xf numFmtId="0" fontId="16" fillId="43" borderId="45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43" borderId="79" xfId="0" applyFont="1" applyFill="1" applyBorder="1" applyAlignment="1">
      <alignment horizontal="center" vertical="center"/>
    </xf>
    <xf numFmtId="0" fontId="16" fillId="43" borderId="77" xfId="0" applyFont="1" applyFill="1" applyBorder="1" applyAlignment="1">
      <alignment horizontal="center" vertical="center"/>
    </xf>
    <xf numFmtId="0" fontId="16" fillId="43" borderId="78" xfId="0" applyFont="1" applyFill="1" applyBorder="1" applyAlignment="1">
      <alignment horizontal="center" vertical="center"/>
    </xf>
    <xf numFmtId="164" fontId="16" fillId="43" borderId="79" xfId="0" applyNumberFormat="1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0" fillId="0" borderId="0" xfId="0" applyFont="1" applyAlignment="1">
      <alignment horizontal="center" wrapText="1"/>
    </xf>
    <xf numFmtId="0" fontId="111" fillId="0" borderId="0" xfId="0" applyFont="1" applyAlignment="1">
      <alignment horizontal="center"/>
    </xf>
    <xf numFmtId="0" fontId="121" fillId="75" borderId="110" xfId="0" applyFont="1" applyFill="1" applyBorder="1" applyAlignment="1">
      <alignment horizontal="center"/>
    </xf>
    <xf numFmtId="0" fontId="121" fillId="75" borderId="122" xfId="0" applyFont="1" applyFill="1" applyBorder="1" applyAlignment="1">
      <alignment horizontal="center"/>
    </xf>
    <xf numFmtId="0" fontId="121" fillId="75" borderId="109" xfId="0" applyFont="1" applyFill="1" applyBorder="1" applyAlignment="1">
      <alignment horizontal="center"/>
    </xf>
    <xf numFmtId="0" fontId="97" fillId="75" borderId="30" xfId="0" applyFont="1" applyFill="1" applyBorder="1" applyAlignment="1">
      <alignment horizontal="center" vertical="center"/>
    </xf>
    <xf numFmtId="0" fontId="97" fillId="75" borderId="48" xfId="0" applyFont="1" applyFill="1" applyBorder="1" applyAlignment="1">
      <alignment horizontal="center" vertical="center"/>
    </xf>
    <xf numFmtId="0" fontId="97" fillId="75" borderId="46" xfId="0" applyFont="1" applyFill="1" applyBorder="1" applyAlignment="1">
      <alignment horizontal="center" vertical="center"/>
    </xf>
    <xf numFmtId="0" fontId="97" fillId="75" borderId="31" xfId="0" applyFont="1" applyFill="1" applyBorder="1" applyAlignment="1">
      <alignment horizontal="center" vertical="center"/>
    </xf>
    <xf numFmtId="0" fontId="97" fillId="75" borderId="40" xfId="0" applyFont="1" applyFill="1" applyBorder="1" applyAlignment="1">
      <alignment horizontal="center" vertical="center"/>
    </xf>
    <xf numFmtId="0" fontId="97" fillId="75" borderId="41" xfId="0" applyFont="1" applyFill="1" applyBorder="1" applyAlignment="1">
      <alignment horizontal="center" vertical="center"/>
    </xf>
    <xf numFmtId="0" fontId="110" fillId="0" borderId="35" xfId="0" applyFont="1" applyBorder="1" applyAlignment="1">
      <alignment horizontal="center" vertical="center"/>
    </xf>
    <xf numFmtId="0" fontId="110" fillId="0" borderId="48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 vertical="center"/>
    </xf>
    <xf numFmtId="0" fontId="110" fillId="87" borderId="35" xfId="0" applyFont="1" applyFill="1" applyBorder="1" applyAlignment="1">
      <alignment horizontal="center" vertical="center"/>
    </xf>
    <xf numFmtId="0" fontId="110" fillId="87" borderId="48" xfId="0" applyFont="1" applyFill="1" applyBorder="1" applyAlignment="1">
      <alignment horizontal="center" vertical="center"/>
    </xf>
    <xf numFmtId="0" fontId="110" fillId="87" borderId="46" xfId="0" applyFont="1" applyFill="1" applyBorder="1" applyAlignment="1">
      <alignment horizontal="center" vertical="center"/>
    </xf>
    <xf numFmtId="0" fontId="109" fillId="72" borderId="11" xfId="0" applyFont="1" applyFill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10" fillId="0" borderId="115" xfId="0" applyFont="1" applyBorder="1" applyAlignment="1">
      <alignment horizontal="center" vertical="center"/>
    </xf>
    <xf numFmtId="0" fontId="97" fillId="74" borderId="10" xfId="0" applyFont="1" applyFill="1" applyBorder="1" applyAlignment="1">
      <alignment horizontal="center" vertical="center"/>
    </xf>
    <xf numFmtId="0" fontId="114" fillId="88" borderId="97" xfId="0" applyFont="1" applyFill="1" applyBorder="1" applyAlignment="1">
      <alignment horizontal="center" vertical="center"/>
    </xf>
    <xf numFmtId="0" fontId="114" fillId="88" borderId="99" xfId="0" applyFont="1" applyFill="1" applyBorder="1" applyAlignment="1">
      <alignment horizontal="center" vertical="center"/>
    </xf>
    <xf numFmtId="0" fontId="114" fillId="88" borderId="100" xfId="0" applyFont="1" applyFill="1" applyBorder="1" applyAlignment="1">
      <alignment horizontal="center" vertical="center"/>
    </xf>
    <xf numFmtId="0" fontId="114" fillId="88" borderId="102" xfId="0" applyFont="1" applyFill="1" applyBorder="1" applyAlignment="1">
      <alignment horizontal="center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108" fillId="88" borderId="97" xfId="0" applyFont="1" applyFill="1" applyBorder="1" applyAlignment="1">
      <alignment horizontal="left" vertical="center"/>
    </xf>
    <xf numFmtId="0" fontId="108" fillId="88" borderId="99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14" fillId="89" borderId="100" xfId="0" applyFont="1" applyFill="1" applyBorder="1" applyAlignment="1">
      <alignment horizontal="center" vertical="center"/>
    </xf>
    <xf numFmtId="0" fontId="114" fillId="89" borderId="102" xfId="0" applyFont="1" applyFill="1" applyBorder="1" applyAlignment="1">
      <alignment horizontal="center" vertical="center"/>
    </xf>
    <xf numFmtId="0" fontId="97" fillId="80" borderId="10" xfId="0" applyFont="1" applyFill="1" applyBorder="1" applyAlignment="1">
      <alignment horizontal="center" vertical="center"/>
    </xf>
    <xf numFmtId="0" fontId="114" fillId="89" borderId="97" xfId="0" applyFont="1" applyFill="1" applyBorder="1" applyAlignment="1">
      <alignment horizontal="center" vertical="center"/>
    </xf>
    <xf numFmtId="0" fontId="114" fillId="89" borderId="99" xfId="0" applyFont="1" applyFill="1" applyBorder="1" applyAlignment="1">
      <alignment horizontal="center" vertical="center"/>
    </xf>
    <xf numFmtId="0" fontId="114" fillId="89" borderId="153" xfId="0" applyFont="1" applyFill="1" applyBorder="1" applyAlignment="1">
      <alignment horizontal="center" vertical="center"/>
    </xf>
    <xf numFmtId="0" fontId="114" fillId="89" borderId="154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89" borderId="153" xfId="0" applyFont="1" applyFill="1" applyBorder="1" applyAlignment="1">
      <alignment horizontal="left" vertical="center"/>
    </xf>
    <xf numFmtId="0" fontId="108" fillId="89" borderId="155" xfId="0" applyFont="1" applyFill="1" applyBorder="1" applyAlignment="1">
      <alignment horizontal="left" vertical="center"/>
    </xf>
    <xf numFmtId="0" fontId="108" fillId="89" borderId="154" xfId="0" applyFont="1" applyFill="1" applyBorder="1" applyAlignment="1">
      <alignment horizontal="left" vertical="center"/>
    </xf>
    <xf numFmtId="0" fontId="108" fillId="88" borderId="153" xfId="0" applyFont="1" applyFill="1" applyBorder="1" applyAlignment="1">
      <alignment horizontal="left" vertical="center"/>
    </xf>
    <xf numFmtId="0" fontId="108" fillId="88" borderId="154" xfId="0" applyFont="1" applyFill="1" applyBorder="1" applyAlignment="1">
      <alignment horizontal="left" vertical="center"/>
    </xf>
    <xf numFmtId="0" fontId="114" fillId="88" borderId="153" xfId="0" applyFont="1" applyFill="1" applyBorder="1" applyAlignment="1">
      <alignment horizontal="center" vertical="center"/>
    </xf>
    <xf numFmtId="0" fontId="114" fillId="88" borderId="154" xfId="0" applyFont="1" applyFill="1" applyBorder="1" applyAlignment="1">
      <alignment horizontal="center" vertical="center"/>
    </xf>
    <xf numFmtId="0" fontId="114" fillId="90" borderId="100" xfId="0" applyFont="1" applyFill="1" applyBorder="1" applyAlignment="1">
      <alignment horizontal="center" vertical="center"/>
    </xf>
    <xf numFmtId="0" fontId="114" fillId="90" borderId="102" xfId="0" applyFont="1" applyFill="1" applyBorder="1" applyAlignment="1">
      <alignment horizontal="center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122" fillId="90" borderId="100" xfId="0" applyFont="1" applyFill="1" applyBorder="1" applyAlignment="1">
      <alignment horizontal="left" vertical="center"/>
    </xf>
    <xf numFmtId="0" fontId="122" fillId="90" borderId="101" xfId="0" applyFont="1" applyFill="1" applyBorder="1" applyAlignment="1">
      <alignment horizontal="left" vertical="center"/>
    </xf>
    <xf numFmtId="0" fontId="122" fillId="90" borderId="102" xfId="0" applyFont="1" applyFill="1" applyBorder="1" applyAlignment="1">
      <alignment horizontal="left" vertical="center"/>
    </xf>
    <xf numFmtId="0" fontId="123" fillId="0" borderId="0" xfId="0" applyFont="1" applyAlignment="1">
      <alignment horizontal="center"/>
    </xf>
    <xf numFmtId="0" fontId="114" fillId="91" borderId="153" xfId="0" applyFont="1" applyFill="1" applyBorder="1" applyAlignment="1">
      <alignment horizontal="center" vertical="center"/>
    </xf>
    <xf numFmtId="0" fontId="114" fillId="91" borderId="155" xfId="0" applyFont="1" applyFill="1" applyBorder="1" applyAlignment="1">
      <alignment horizontal="center" vertical="center"/>
    </xf>
    <xf numFmtId="0" fontId="114" fillId="91" borderId="156" xfId="0" applyFont="1" applyFill="1" applyBorder="1" applyAlignment="1">
      <alignment horizontal="center" vertical="center"/>
    </xf>
    <xf numFmtId="0" fontId="109" fillId="72" borderId="105" xfId="0" applyFont="1" applyFill="1" applyBorder="1" applyAlignment="1">
      <alignment horizontal="center" vertical="center"/>
    </xf>
    <xf numFmtId="0" fontId="109" fillId="72" borderId="106" xfId="0" applyFont="1" applyFill="1" applyBorder="1" applyAlignment="1">
      <alignment horizontal="center" vertical="center"/>
    </xf>
    <xf numFmtId="0" fontId="109" fillId="72" borderId="107" xfId="0" applyFont="1" applyFill="1" applyBorder="1" applyAlignment="1">
      <alignment horizontal="center" vertical="center"/>
    </xf>
    <xf numFmtId="0" fontId="98" fillId="0" borderId="17" xfId="0" applyFont="1" applyBorder="1" applyAlignment="1">
      <alignment horizontal="center" vertical="center"/>
    </xf>
    <xf numFmtId="0" fontId="98" fillId="0" borderId="113" xfId="0" applyFont="1" applyBorder="1" applyAlignment="1">
      <alignment horizontal="center" vertical="center"/>
    </xf>
    <xf numFmtId="0" fontId="114" fillId="91" borderId="100" xfId="0" applyFont="1" applyFill="1" applyBorder="1" applyAlignment="1">
      <alignment horizontal="center" vertical="center"/>
    </xf>
    <xf numFmtId="0" fontId="114" fillId="91" borderId="101" xfId="0" applyFont="1" applyFill="1" applyBorder="1" applyAlignment="1">
      <alignment horizontal="center" vertical="center"/>
    </xf>
    <xf numFmtId="0" fontId="114" fillId="91" borderId="152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97" fillId="73" borderId="150" xfId="0" applyFont="1" applyFill="1" applyBorder="1" applyAlignment="1">
      <alignment horizontal="center" vertical="center"/>
    </xf>
    <xf numFmtId="0" fontId="97" fillId="85" borderId="10" xfId="0" applyFont="1" applyFill="1" applyBorder="1" applyAlignment="1">
      <alignment horizontal="center" vertical="center"/>
    </xf>
    <xf numFmtId="0" fontId="114" fillId="91" borderId="97" xfId="0" applyFont="1" applyFill="1" applyBorder="1" applyAlignment="1">
      <alignment horizontal="center" vertical="center"/>
    </xf>
    <xf numFmtId="0" fontId="114" fillId="91" borderId="98" xfId="0" applyFont="1" applyFill="1" applyBorder="1" applyAlignment="1">
      <alignment horizontal="center" vertical="center"/>
    </xf>
    <xf numFmtId="0" fontId="114" fillId="91" borderId="151" xfId="0" applyFont="1" applyFill="1" applyBorder="1" applyAlignment="1">
      <alignment horizontal="center" vertical="center"/>
    </xf>
    <xf numFmtId="0" fontId="114" fillId="90" borderId="153" xfId="0" applyFont="1" applyFill="1" applyBorder="1" applyAlignment="1">
      <alignment horizontal="center" vertical="center"/>
    </xf>
    <xf numFmtId="0" fontId="114" fillId="90" borderId="154" xfId="0" applyFont="1" applyFill="1" applyBorder="1" applyAlignment="1">
      <alignment horizontal="center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14" fillId="90" borderId="97" xfId="0" applyFont="1" applyFill="1" applyBorder="1" applyAlignment="1">
      <alignment horizontal="center" vertical="center"/>
    </xf>
    <xf numFmtId="0" fontId="114" fillId="90" borderId="99" xfId="0" applyFont="1" applyFill="1" applyBorder="1" applyAlignment="1">
      <alignment horizontal="center" vertical="center"/>
    </xf>
    <xf numFmtId="0" fontId="108" fillId="90" borderId="97" xfId="0" applyFont="1" applyFill="1" applyBorder="1" applyAlignment="1">
      <alignment horizontal="left" vertical="center"/>
    </xf>
    <xf numFmtId="0" fontId="108" fillId="90" borderId="98" xfId="0" applyFont="1" applyFill="1" applyBorder="1" applyAlignment="1">
      <alignment horizontal="left" vertical="center"/>
    </xf>
    <xf numFmtId="0" fontId="108" fillId="90" borderId="99" xfId="0" applyFont="1" applyFill="1" applyBorder="1" applyAlignment="1">
      <alignment horizontal="left" vertical="center"/>
    </xf>
    <xf numFmtId="0" fontId="108" fillId="89" borderId="97" xfId="0" applyFont="1" applyFill="1" applyBorder="1" applyAlignment="1">
      <alignment horizontal="left" vertical="center"/>
    </xf>
    <xf numFmtId="0" fontId="108" fillId="89" borderId="98" xfId="0" applyFont="1" applyFill="1" applyBorder="1" applyAlignment="1">
      <alignment horizontal="left" vertical="center"/>
    </xf>
    <xf numFmtId="0" fontId="108" fillId="89" borderId="99" xfId="0" applyFont="1" applyFill="1" applyBorder="1" applyAlignment="1">
      <alignment horizontal="left" vertical="center"/>
    </xf>
    <xf numFmtId="0" fontId="122" fillId="89" borderId="100" xfId="0" applyFont="1" applyFill="1" applyBorder="1" applyAlignment="1">
      <alignment horizontal="left" vertical="center"/>
    </xf>
    <xf numFmtId="0" fontId="122" fillId="89" borderId="101" xfId="0" applyFont="1" applyFill="1" applyBorder="1" applyAlignment="1">
      <alignment horizontal="left" vertical="center"/>
    </xf>
    <xf numFmtId="0" fontId="122" fillId="89" borderId="102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/>
    </xf>
    <xf numFmtId="0" fontId="10" fillId="86" borderId="15" xfId="0" applyFont="1" applyFill="1" applyBorder="1" applyAlignment="1">
      <alignment horizontal="center" vertical="center"/>
    </xf>
    <xf numFmtId="0" fontId="10" fillId="86" borderId="89" xfId="0" applyFont="1" applyFill="1" applyBorder="1" applyAlignment="1">
      <alignment horizontal="center" vertical="center"/>
    </xf>
    <xf numFmtId="0" fontId="100" fillId="86" borderId="42" xfId="0" applyFont="1" applyFill="1" applyBorder="1" applyAlignment="1">
      <alignment horizontal="center" vertical="top"/>
    </xf>
    <xf numFmtId="0" fontId="100" fillId="86" borderId="54" xfId="0" applyFont="1" applyFill="1" applyBorder="1" applyAlignment="1">
      <alignment horizontal="center" vertical="top"/>
    </xf>
    <xf numFmtId="0" fontId="10" fillId="86" borderId="42" xfId="0" applyFont="1" applyFill="1" applyBorder="1" applyAlignment="1">
      <alignment horizontal="center" vertical="center"/>
    </xf>
    <xf numFmtId="0" fontId="10" fillId="86" borderId="54" xfId="0" applyFont="1" applyFill="1" applyBorder="1" applyAlignment="1">
      <alignment horizontal="center" vertical="center"/>
    </xf>
    <xf numFmtId="0" fontId="10" fillId="86" borderId="42" xfId="0" applyFont="1" applyFill="1" applyBorder="1" applyAlignment="1">
      <alignment horizontal="center" vertical="top"/>
    </xf>
    <xf numFmtId="0" fontId="10" fillId="86" borderId="54" xfId="0" applyFont="1" applyFill="1" applyBorder="1" applyAlignment="1">
      <alignment horizontal="center" vertical="top"/>
    </xf>
    <xf numFmtId="49" fontId="5" fillId="86" borderId="62" xfId="0" applyNumberFormat="1" applyFont="1" applyFill="1" applyBorder="1" applyAlignment="1">
      <alignment horizontal="center"/>
    </xf>
    <xf numFmtId="49" fontId="5" fillId="86" borderId="39" xfId="0" applyNumberFormat="1" applyFont="1" applyFill="1" applyBorder="1" applyAlignment="1">
      <alignment horizontal="center"/>
    </xf>
    <xf numFmtId="49" fontId="112" fillId="86" borderId="55" xfId="0" applyNumberFormat="1" applyFont="1" applyFill="1" applyBorder="1" applyAlignment="1">
      <alignment horizontal="center"/>
    </xf>
    <xf numFmtId="49" fontId="112" fillId="86" borderId="36" xfId="0" applyNumberFormat="1" applyFont="1" applyFill="1" applyBorder="1" applyAlignment="1">
      <alignment horizontal="center"/>
    </xf>
    <xf numFmtId="0" fontId="138" fillId="87" borderId="0" xfId="0" applyFont="1" applyFill="1" applyAlignment="1">
      <alignment horizontal="center" wrapText="1"/>
    </xf>
    <xf numFmtId="49" fontId="5" fillId="86" borderId="55" xfId="0" applyNumberFormat="1" applyFont="1" applyFill="1" applyBorder="1" applyAlignment="1">
      <alignment horizontal="center"/>
    </xf>
    <xf numFmtId="49" fontId="5" fillId="86" borderId="15" xfId="0" applyNumberFormat="1" applyFont="1" applyFill="1" applyBorder="1" applyAlignment="1">
      <alignment horizontal="center"/>
    </xf>
    <xf numFmtId="49" fontId="5" fillId="86" borderId="36" xfId="0" applyNumberFormat="1" applyFont="1" applyFill="1" applyBorder="1" applyAlignment="1">
      <alignment horizontal="center"/>
    </xf>
    <xf numFmtId="0" fontId="160" fillId="86" borderId="42" xfId="0" applyFont="1" applyFill="1" applyBorder="1" applyAlignment="1">
      <alignment horizontal="center" vertical="top"/>
    </xf>
    <xf numFmtId="0" fontId="160" fillId="86" borderId="17" xfId="0" applyFont="1" applyFill="1" applyBorder="1" applyAlignment="1">
      <alignment horizontal="center" vertical="top"/>
    </xf>
    <xf numFmtId="0" fontId="160" fillId="86" borderId="54" xfId="0" applyFont="1" applyFill="1" applyBorder="1" applyAlignment="1">
      <alignment horizontal="center" vertical="top"/>
    </xf>
    <xf numFmtId="0" fontId="128" fillId="0" borderId="38" xfId="0" applyFont="1" applyBorder="1" applyAlignment="1">
      <alignment horizontal="center" vertical="top"/>
    </xf>
    <xf numFmtId="0" fontId="18" fillId="86" borderId="51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/>
    </xf>
    <xf numFmtId="0" fontId="0" fillId="86" borderId="51" xfId="0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wrapText="1"/>
    </xf>
    <xf numFmtId="0" fontId="11" fillId="86" borderId="36" xfId="0" applyFont="1" applyFill="1" applyBorder="1" applyAlignment="1">
      <alignment horizontal="center" wrapText="1"/>
    </xf>
    <xf numFmtId="0" fontId="5" fillId="86" borderId="59" xfId="0" applyFont="1" applyFill="1" applyBorder="1" applyAlignment="1">
      <alignment horizontal="center" vertical="center" wrapText="1"/>
    </xf>
    <xf numFmtId="0" fontId="6" fillId="86" borderId="36" xfId="0" applyFont="1" applyFill="1" applyBorder="1" applyAlignment="1">
      <alignment horizontal="center" vertical="center" wrapText="1"/>
    </xf>
    <xf numFmtId="0" fontId="6" fillId="86" borderId="61" xfId="0" applyFont="1" applyFill="1" applyBorder="1" applyAlignment="1">
      <alignment horizontal="center" vertical="center" wrapText="1"/>
    </xf>
    <xf numFmtId="0" fontId="6" fillId="86" borderId="39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/>
    </xf>
    <xf numFmtId="0" fontId="8" fillId="86" borderId="52" xfId="0" applyFont="1" applyFill="1" applyBorder="1" applyAlignment="1">
      <alignment horizontal="center" vertical="center"/>
    </xf>
    <xf numFmtId="0" fontId="8" fillId="86" borderId="80" xfId="0" applyFont="1" applyFill="1" applyBorder="1" applyAlignment="1">
      <alignment horizontal="center" vertical="center"/>
    </xf>
    <xf numFmtId="0" fontId="18" fillId="86" borderId="55" xfId="0" applyFont="1" applyFill="1" applyBorder="1" applyAlignment="1">
      <alignment horizontal="center" vertical="center" wrapText="1"/>
    </xf>
    <xf numFmtId="0" fontId="18" fillId="86" borderId="15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 wrapText="1"/>
    </xf>
    <xf numFmtId="0" fontId="18" fillId="86" borderId="56" xfId="0" applyFont="1" applyFill="1" applyBorder="1" applyAlignment="1">
      <alignment horizontal="center" vertical="center" wrapText="1"/>
    </xf>
    <xf numFmtId="0" fontId="18" fillId="86" borderId="57" xfId="0" applyFont="1" applyFill="1" applyBorder="1" applyAlignment="1">
      <alignment horizontal="center" vertical="center" wrapText="1"/>
    </xf>
    <xf numFmtId="0" fontId="18" fillId="86" borderId="58" xfId="0" applyFont="1" applyFill="1" applyBorder="1" applyAlignment="1">
      <alignment horizontal="center" vertical="center" wrapText="1"/>
    </xf>
    <xf numFmtId="0" fontId="122" fillId="72" borderId="93" xfId="0" applyFont="1" applyFill="1" applyBorder="1" applyAlignment="1">
      <alignment horizontal="center" vertical="center" shrinkToFit="1"/>
    </xf>
    <xf numFmtId="0" fontId="122" fillId="72" borderId="37" xfId="0" applyFont="1" applyFill="1" applyBorder="1" applyAlignment="1">
      <alignment horizontal="center" vertical="center" shrinkToFit="1"/>
    </xf>
    <xf numFmtId="0" fontId="120" fillId="0" borderId="16" xfId="0" applyFont="1" applyBorder="1" applyAlignment="1">
      <alignment horizontal="center"/>
    </xf>
    <xf numFmtId="0" fontId="120" fillId="0" borderId="38" xfId="0" applyFont="1" applyBorder="1" applyAlignment="1">
      <alignment horizontal="center"/>
    </xf>
    <xf numFmtId="0" fontId="98" fillId="72" borderId="55" xfId="0" applyFont="1" applyFill="1" applyBorder="1" applyAlignment="1">
      <alignment horizontal="center" vertical="center" wrapText="1"/>
    </xf>
    <xf numFmtId="0" fontId="98" fillId="72" borderId="15" xfId="0" applyFont="1" applyFill="1" applyBorder="1" applyAlignment="1">
      <alignment horizontal="center" vertical="center" wrapText="1"/>
    </xf>
    <xf numFmtId="0" fontId="98" fillId="72" borderId="36" xfId="0" applyFont="1" applyFill="1" applyBorder="1" applyAlignment="1">
      <alignment horizontal="center" vertical="center" wrapText="1"/>
    </xf>
    <xf numFmtId="0" fontId="98" fillId="72" borderId="62" xfId="0" applyFont="1" applyFill="1" applyBorder="1" applyAlignment="1">
      <alignment horizontal="center" vertical="center" wrapText="1"/>
    </xf>
    <xf numFmtId="0" fontId="98" fillId="72" borderId="0" xfId="0" applyFont="1" applyFill="1" applyAlignment="1">
      <alignment horizontal="center" vertical="center" wrapText="1"/>
    </xf>
    <xf numFmtId="0" fontId="98" fillId="72" borderId="39" xfId="0" applyFont="1" applyFill="1" applyBorder="1" applyAlignment="1">
      <alignment horizontal="center" vertical="center" wrapText="1"/>
    </xf>
    <xf numFmtId="0" fontId="98" fillId="72" borderId="42" xfId="0" applyFont="1" applyFill="1" applyBorder="1" applyAlignment="1">
      <alignment horizontal="center" vertical="center" wrapText="1"/>
    </xf>
    <xf numFmtId="0" fontId="98" fillId="72" borderId="17" xfId="0" applyFont="1" applyFill="1" applyBorder="1" applyAlignment="1">
      <alignment horizontal="center" vertical="center" wrapText="1"/>
    </xf>
    <xf numFmtId="0" fontId="98" fillId="72" borderId="54" xfId="0" applyFont="1" applyFill="1" applyBorder="1" applyAlignment="1">
      <alignment horizontal="center" vertical="center" wrapText="1"/>
    </xf>
    <xf numFmtId="0" fontId="0" fillId="71" borderId="55" xfId="0" applyFill="1" applyBorder="1" applyAlignment="1">
      <alignment horizontal="center"/>
    </xf>
    <xf numFmtId="0" fontId="0" fillId="71" borderId="15" xfId="0" applyFill="1" applyBorder="1" applyAlignment="1">
      <alignment horizontal="center"/>
    </xf>
    <xf numFmtId="0" fontId="0" fillId="71" borderId="36" xfId="0" applyFill="1" applyBorder="1" applyAlignment="1">
      <alignment horizontal="center"/>
    </xf>
    <xf numFmtId="0" fontId="0" fillId="71" borderId="62" xfId="0" applyFill="1" applyBorder="1" applyAlignment="1">
      <alignment horizontal="center"/>
    </xf>
    <xf numFmtId="0" fontId="0" fillId="71" borderId="0" xfId="0" applyFill="1" applyAlignment="1">
      <alignment horizontal="center"/>
    </xf>
    <xf numFmtId="0" fontId="0" fillId="71" borderId="39" xfId="0" applyFill="1" applyBorder="1" applyAlignment="1">
      <alignment horizontal="center"/>
    </xf>
    <xf numFmtId="0" fontId="0" fillId="71" borderId="42" xfId="0" applyFill="1" applyBorder="1" applyAlignment="1">
      <alignment horizontal="center"/>
    </xf>
    <xf numFmtId="0" fontId="0" fillId="71" borderId="17" xfId="0" applyFill="1" applyBorder="1" applyAlignment="1">
      <alignment horizontal="center"/>
    </xf>
    <xf numFmtId="0" fontId="0" fillId="71" borderId="54" xfId="0" applyFill="1" applyBorder="1" applyAlignment="1">
      <alignment horizontal="center"/>
    </xf>
    <xf numFmtId="0" fontId="100" fillId="86" borderId="62" xfId="0" applyFont="1" applyFill="1" applyBorder="1" applyAlignment="1">
      <alignment horizontal="center" vertical="top"/>
    </xf>
    <xf numFmtId="0" fontId="100" fillId="86" borderId="39" xfId="0" applyFont="1" applyFill="1" applyBorder="1" applyAlignment="1">
      <alignment horizontal="center" vertical="top"/>
    </xf>
    <xf numFmtId="49" fontId="112" fillId="86" borderId="65" xfId="0" applyNumberFormat="1" applyFont="1" applyFill="1" applyBorder="1" applyAlignment="1">
      <alignment horizontal="center"/>
    </xf>
    <xf numFmtId="0" fontId="100" fillId="86" borderId="94" xfId="0" applyFont="1" applyFill="1" applyBorder="1" applyAlignment="1">
      <alignment horizontal="center" vertical="top"/>
    </xf>
    <xf numFmtId="0" fontId="121" fillId="71" borderId="19" xfId="0" applyFont="1" applyFill="1" applyBorder="1" applyAlignment="1">
      <alignment horizontal="center" vertical="center"/>
    </xf>
    <xf numFmtId="0" fontId="121" fillId="71" borderId="17" xfId="0" applyFont="1" applyFill="1" applyBorder="1" applyAlignment="1">
      <alignment horizontal="center" vertical="center"/>
    </xf>
    <xf numFmtId="0" fontId="18" fillId="86" borderId="18" xfId="0" applyFont="1" applyFill="1" applyBorder="1" applyAlignment="1">
      <alignment horizontal="center" vertical="center"/>
    </xf>
    <xf numFmtId="0" fontId="18" fillId="86" borderId="20" xfId="0" applyFont="1" applyFill="1" applyBorder="1" applyAlignment="1">
      <alignment horizontal="center" vertical="center"/>
    </xf>
    <xf numFmtId="0" fontId="18" fillId="86" borderId="23" xfId="0" applyFont="1" applyFill="1" applyBorder="1" applyAlignment="1">
      <alignment horizontal="center" vertical="center"/>
    </xf>
    <xf numFmtId="0" fontId="18" fillId="86" borderId="25" xfId="0" applyFont="1" applyFill="1" applyBorder="1" applyAlignment="1">
      <alignment horizontal="center" vertical="center"/>
    </xf>
    <xf numFmtId="0" fontId="98" fillId="84" borderId="10" xfId="0" applyFont="1" applyFill="1" applyBorder="1" applyAlignment="1">
      <alignment horizontal="center"/>
    </xf>
    <xf numFmtId="0" fontId="100" fillId="86" borderId="66" xfId="0" applyFont="1" applyFill="1" applyBorder="1" applyAlignment="1">
      <alignment horizontal="center" vertical="top"/>
    </xf>
    <xf numFmtId="0" fontId="18" fillId="85" borderId="53" xfId="0" applyFont="1" applyFill="1" applyBorder="1" applyAlignment="1">
      <alignment horizontal="center" vertical="center"/>
    </xf>
    <xf numFmtId="0" fontId="18" fillId="85" borderId="15" xfId="0" applyFont="1" applyFill="1" applyBorder="1" applyAlignment="1">
      <alignment horizontal="center" vertical="center"/>
    </xf>
    <xf numFmtId="0" fontId="18" fillId="85" borderId="22" xfId="0" applyFont="1" applyFill="1" applyBorder="1" applyAlignment="1">
      <alignment horizontal="center" vertical="center"/>
    </xf>
    <xf numFmtId="0" fontId="18" fillId="85" borderId="23" xfId="0" applyFont="1" applyFill="1" applyBorder="1" applyAlignment="1">
      <alignment horizontal="center" vertical="center"/>
    </xf>
    <xf numFmtId="0" fontId="18" fillId="85" borderId="24" xfId="0" applyFont="1" applyFill="1" applyBorder="1" applyAlignment="1">
      <alignment horizontal="center" vertical="center"/>
    </xf>
    <xf numFmtId="0" fontId="18" fillId="85" borderId="25" xfId="0" applyFont="1" applyFill="1" applyBorder="1" applyAlignment="1">
      <alignment horizontal="center" vertical="center"/>
    </xf>
    <xf numFmtId="0" fontId="102" fillId="83" borderId="55" xfId="0" applyFont="1" applyFill="1" applyBorder="1" applyAlignment="1">
      <alignment horizontal="center" vertical="center" wrapText="1"/>
    </xf>
    <xf numFmtId="0" fontId="102" fillId="83" borderId="15" xfId="0" applyFont="1" applyFill="1" applyBorder="1" applyAlignment="1">
      <alignment horizontal="center" vertical="center" wrapText="1"/>
    </xf>
    <xf numFmtId="0" fontId="102" fillId="83" borderId="89" xfId="0" applyFont="1" applyFill="1" applyBorder="1" applyAlignment="1">
      <alignment horizontal="center" vertical="center" wrapText="1"/>
    </xf>
    <xf numFmtId="0" fontId="102" fillId="83" borderId="62" xfId="0" applyFont="1" applyFill="1" applyBorder="1" applyAlignment="1">
      <alignment horizontal="center" vertical="center" wrapText="1"/>
    </xf>
    <xf numFmtId="0" fontId="102" fillId="83" borderId="0" xfId="0" applyFont="1" applyFill="1" applyAlignment="1">
      <alignment horizontal="center" vertical="center" wrapText="1"/>
    </xf>
    <xf numFmtId="0" fontId="102" fillId="83" borderId="22" xfId="0" applyFont="1" applyFill="1" applyBorder="1" applyAlignment="1">
      <alignment horizontal="center" vertical="center" wrapText="1"/>
    </xf>
    <xf numFmtId="0" fontId="102" fillId="83" borderId="42" xfId="0" applyFont="1" applyFill="1" applyBorder="1" applyAlignment="1">
      <alignment horizontal="center" vertical="center" wrapText="1"/>
    </xf>
    <xf numFmtId="0" fontId="102" fillId="83" borderId="17" xfId="0" applyFont="1" applyFill="1" applyBorder="1" applyAlignment="1">
      <alignment horizontal="center" vertical="center" wrapText="1"/>
    </xf>
    <xf numFmtId="0" fontId="102" fillId="83" borderId="91" xfId="0" applyFont="1" applyFill="1" applyBorder="1" applyAlignment="1">
      <alignment horizontal="center" vertical="center" wrapText="1"/>
    </xf>
    <xf numFmtId="0" fontId="10" fillId="86" borderId="36" xfId="0" applyFont="1" applyFill="1" applyBorder="1" applyAlignment="1">
      <alignment horizontal="center" vertical="center"/>
    </xf>
    <xf numFmtId="0" fontId="10" fillId="86" borderId="56" xfId="0" applyFont="1" applyFill="1" applyBorder="1" applyAlignment="1">
      <alignment horizontal="center" vertical="center"/>
    </xf>
    <xf numFmtId="0" fontId="10" fillId="86" borderId="57" xfId="0" applyFont="1" applyFill="1" applyBorder="1" applyAlignment="1">
      <alignment horizontal="center" vertical="center"/>
    </xf>
    <xf numFmtId="0" fontId="10" fillId="86" borderId="58" xfId="0" applyFont="1" applyFill="1" applyBorder="1" applyAlignment="1">
      <alignment horizontal="center" vertical="center"/>
    </xf>
    <xf numFmtId="0" fontId="66" fillId="86" borderId="16" xfId="0" applyFont="1" applyFill="1" applyBorder="1" applyAlignment="1">
      <alignment horizontal="center" vertical="center"/>
    </xf>
    <xf numFmtId="0" fontId="66" fillId="86" borderId="38" xfId="0" applyFont="1" applyFill="1" applyBorder="1" applyAlignment="1">
      <alignment horizontal="center" vertical="center"/>
    </xf>
    <xf numFmtId="0" fontId="66" fillId="86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0" fillId="86" borderId="42" xfId="0" applyFont="1" applyFill="1" applyBorder="1" applyAlignment="1">
      <alignment horizontal="center"/>
    </xf>
    <xf numFmtId="0" fontId="100" fillId="86" borderId="54" xfId="0" applyFont="1" applyFill="1" applyBorder="1" applyAlignment="1">
      <alignment horizontal="center"/>
    </xf>
    <xf numFmtId="0" fontId="100" fillId="86" borderId="56" xfId="0" applyFont="1" applyFill="1" applyBorder="1" applyAlignment="1">
      <alignment horizontal="center" vertical="top"/>
    </xf>
    <xf numFmtId="0" fontId="100" fillId="86" borderId="58" xfId="0" applyFont="1" applyFill="1" applyBorder="1" applyAlignment="1">
      <alignment horizontal="center" vertical="top"/>
    </xf>
    <xf numFmtId="0" fontId="112" fillId="86" borderId="56" xfId="0" applyFont="1" applyFill="1" applyBorder="1" applyAlignment="1">
      <alignment horizontal="center" vertical="top"/>
    </xf>
    <xf numFmtId="0" fontId="112" fillId="86" borderId="58" xfId="0" applyFont="1" applyFill="1" applyBorder="1" applyAlignment="1">
      <alignment horizontal="center" vertical="top"/>
    </xf>
    <xf numFmtId="0" fontId="132" fillId="86" borderId="33" xfId="0" applyFont="1" applyFill="1" applyBorder="1" applyAlignment="1">
      <alignment horizontal="center" vertical="center" textRotation="90"/>
    </xf>
    <xf numFmtId="0" fontId="132" fillId="86" borderId="40" xfId="0" applyFont="1" applyFill="1" applyBorder="1" applyAlignment="1">
      <alignment horizontal="center" vertical="center" textRotation="90"/>
    </xf>
    <xf numFmtId="0" fontId="9" fillId="86" borderId="10" xfId="0" applyFont="1" applyFill="1" applyBorder="1" applyAlignment="1">
      <alignment horizontal="center" vertical="center"/>
    </xf>
    <xf numFmtId="0" fontId="9" fillId="86" borderId="52" xfId="0" applyFont="1" applyFill="1" applyBorder="1" applyAlignment="1">
      <alignment horizontal="center" vertical="center"/>
    </xf>
    <xf numFmtId="0" fontId="5" fillId="86" borderId="56" xfId="0" applyFont="1" applyFill="1" applyBorder="1" applyAlignment="1">
      <alignment horizontal="center"/>
    </xf>
    <xf numFmtId="0" fontId="5" fillId="86" borderId="58" xfId="0" applyFont="1" applyFill="1" applyBorder="1" applyAlignment="1">
      <alignment horizontal="center"/>
    </xf>
    <xf numFmtId="0" fontId="5" fillId="86" borderId="59" xfId="0" applyFont="1" applyFill="1" applyBorder="1" applyAlignment="1">
      <alignment horizontal="center" vertical="center"/>
    </xf>
    <xf numFmtId="0" fontId="5" fillId="86" borderId="36" xfId="0" applyFont="1" applyFill="1" applyBorder="1" applyAlignment="1">
      <alignment horizontal="center" vertical="center"/>
    </xf>
    <xf numFmtId="0" fontId="5" fillId="86" borderId="60" xfId="0" applyFont="1" applyFill="1" applyBorder="1" applyAlignment="1">
      <alignment horizontal="center" vertical="center"/>
    </xf>
    <xf numFmtId="0" fontId="5" fillId="86" borderId="54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 shrinkToFit="1"/>
    </xf>
    <xf numFmtId="0" fontId="10" fillId="86" borderId="36" xfId="0" applyFont="1" applyFill="1" applyBorder="1" applyAlignment="1">
      <alignment horizontal="center" vertical="center" wrapText="1" shrinkToFit="1"/>
    </xf>
    <xf numFmtId="0" fontId="10" fillId="86" borderId="62" xfId="0" applyFont="1" applyFill="1" applyBorder="1" applyAlignment="1">
      <alignment horizontal="center" vertical="center" wrapText="1" shrinkToFit="1"/>
    </xf>
    <xf numFmtId="0" fontId="10" fillId="86" borderId="39" xfId="0" applyFont="1" applyFill="1" applyBorder="1" applyAlignment="1">
      <alignment horizontal="center" vertical="center" wrapText="1" shrinkToFit="1"/>
    </xf>
    <xf numFmtId="0" fontId="10" fillId="86" borderId="42" xfId="0" applyFont="1" applyFill="1" applyBorder="1" applyAlignment="1">
      <alignment horizontal="center" vertical="center" wrapText="1" shrinkToFit="1"/>
    </xf>
    <xf numFmtId="0" fontId="10" fillId="86" borderId="54" xfId="0" applyFont="1" applyFill="1" applyBorder="1" applyAlignment="1">
      <alignment horizontal="center" vertical="center" wrapText="1" shrinkToFit="1"/>
    </xf>
    <xf numFmtId="0" fontId="18" fillId="86" borderId="92" xfId="0" applyFont="1" applyFill="1" applyBorder="1" applyAlignment="1">
      <alignment horizontal="center" vertical="center" wrapText="1"/>
    </xf>
    <xf numFmtId="0" fontId="18" fillId="86" borderId="41" xfId="0" applyFont="1" applyFill="1" applyBorder="1" applyAlignment="1">
      <alignment horizontal="center" vertical="center"/>
    </xf>
    <xf numFmtId="0" fontId="18" fillId="86" borderId="51" xfId="0" applyFont="1" applyFill="1" applyBorder="1" applyAlignment="1">
      <alignment horizontal="center" vertical="center"/>
    </xf>
    <xf numFmtId="0" fontId="18" fillId="86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/>
    </xf>
    <xf numFmtId="0" fontId="10" fillId="86" borderId="17" xfId="0" applyFont="1" applyFill="1" applyBorder="1" applyAlignment="1">
      <alignment horizontal="center" vertical="center"/>
    </xf>
    <xf numFmtId="0" fontId="10" fillId="86" borderId="21" xfId="0" applyFont="1" applyFill="1" applyBorder="1" applyAlignment="1">
      <alignment horizontal="center" vertical="center" wrapText="1"/>
    </xf>
    <xf numFmtId="0" fontId="10" fillId="86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8" fillId="86" borderId="59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/>
    </xf>
    <xf numFmtId="0" fontId="18" fillId="86" borderId="61" xfId="0" applyFont="1" applyFill="1" applyBorder="1" applyAlignment="1">
      <alignment horizontal="center" vertical="center"/>
    </xf>
    <xf numFmtId="0" fontId="18" fillId="86" borderId="39" xfId="0" applyFont="1" applyFill="1" applyBorder="1" applyAlignment="1">
      <alignment horizontal="center" vertical="center"/>
    </xf>
    <xf numFmtId="0" fontId="18" fillId="86" borderId="60" xfId="0" applyFont="1" applyFill="1" applyBorder="1" applyAlignment="1">
      <alignment horizontal="center" vertical="center"/>
    </xf>
    <xf numFmtId="0" fontId="18" fillId="86" borderId="54" xfId="0" applyFont="1" applyFill="1" applyBorder="1" applyAlignment="1">
      <alignment horizontal="center" vertical="center"/>
    </xf>
    <xf numFmtId="49" fontId="10" fillId="86" borderId="55" xfId="0" applyNumberFormat="1" applyFont="1" applyFill="1" applyBorder="1" applyAlignment="1">
      <alignment horizontal="center" vertical="center" wrapText="1"/>
    </xf>
    <xf numFmtId="49" fontId="10" fillId="86" borderId="36" xfId="0" applyNumberFormat="1" applyFont="1" applyFill="1" applyBorder="1" applyAlignment="1">
      <alignment horizontal="center" vertical="center"/>
    </xf>
    <xf numFmtId="49" fontId="10" fillId="86" borderId="62" xfId="0" applyNumberFormat="1" applyFont="1" applyFill="1" applyBorder="1" applyAlignment="1">
      <alignment horizontal="center" vertical="center"/>
    </xf>
    <xf numFmtId="49" fontId="10" fillId="86" borderId="39" xfId="0" applyNumberFormat="1" applyFont="1" applyFill="1" applyBorder="1" applyAlignment="1">
      <alignment horizontal="center" vertical="center"/>
    </xf>
    <xf numFmtId="49" fontId="10" fillId="86" borderId="42" xfId="0" applyNumberFormat="1" applyFont="1" applyFill="1" applyBorder="1" applyAlignment="1">
      <alignment horizontal="center" vertical="center"/>
    </xf>
    <xf numFmtId="49" fontId="10" fillId="86" borderId="54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49" fontId="10" fillId="86" borderId="59" xfId="0" applyNumberFormat="1" applyFont="1" applyFill="1" applyBorder="1" applyAlignment="1">
      <alignment horizontal="center" vertical="center" wrapText="1"/>
    </xf>
    <xf numFmtId="49" fontId="10" fillId="86" borderId="61" xfId="0" applyNumberFormat="1" applyFont="1" applyFill="1" applyBorder="1" applyAlignment="1">
      <alignment horizontal="center" vertical="center"/>
    </xf>
    <xf numFmtId="49" fontId="10" fillId="86" borderId="60" xfId="0" applyNumberFormat="1" applyFont="1" applyFill="1" applyBorder="1" applyAlignment="1">
      <alignment horizontal="center" vertical="center"/>
    </xf>
    <xf numFmtId="0" fontId="66" fillId="86" borderId="51" xfId="0" applyFont="1" applyFill="1" applyBorder="1" applyAlignment="1">
      <alignment horizontal="center"/>
    </xf>
    <xf numFmtId="0" fontId="66" fillId="86" borderId="10" xfId="0" applyFont="1" applyFill="1" applyBorder="1" applyAlignment="1">
      <alignment horizontal="center"/>
    </xf>
    <xf numFmtId="0" fontId="66" fillId="86" borderId="40" xfId="0" applyFont="1" applyFill="1" applyBorder="1" applyAlignment="1">
      <alignment horizontal="center" vertical="center" textRotation="90"/>
    </xf>
    <xf numFmtId="0" fontId="66" fillId="86" borderId="63" xfId="0" applyFont="1" applyFill="1" applyBorder="1" applyAlignment="1">
      <alignment horizontal="center" vertical="center" textRotation="90"/>
    </xf>
    <xf numFmtId="0" fontId="28" fillId="86" borderId="55" xfId="0" applyFont="1" applyFill="1" applyBorder="1" applyAlignment="1">
      <alignment horizontal="center" vertical="center" wrapText="1"/>
    </xf>
    <xf numFmtId="0" fontId="28" fillId="86" borderId="36" xfId="0" applyFont="1" applyFill="1" applyBorder="1" applyAlignment="1">
      <alignment horizontal="center" vertical="center"/>
    </xf>
    <xf numFmtId="0" fontId="28" fillId="86" borderId="62" xfId="0" applyFont="1" applyFill="1" applyBorder="1" applyAlignment="1">
      <alignment horizontal="center" vertical="center"/>
    </xf>
    <xf numFmtId="0" fontId="28" fillId="86" borderId="39" xfId="0" applyFont="1" applyFill="1" applyBorder="1" applyAlignment="1">
      <alignment horizontal="center" vertical="center"/>
    </xf>
    <xf numFmtId="0" fontId="10" fillId="86" borderId="62" xfId="0" applyFont="1" applyFill="1" applyBorder="1" applyAlignment="1">
      <alignment horizontal="center" vertical="center"/>
    </xf>
    <xf numFmtId="0" fontId="10" fillId="86" borderId="39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top"/>
    </xf>
    <xf numFmtId="0" fontId="5" fillId="86" borderId="54" xfId="0" applyFont="1" applyFill="1" applyBorder="1" applyAlignment="1">
      <alignment horizontal="center" vertical="top"/>
    </xf>
    <xf numFmtId="0" fontId="128" fillId="81" borderId="10" xfId="0" applyFont="1" applyFill="1" applyBorder="1" applyAlignment="1">
      <alignment horizontal="center" vertical="center" textRotation="90"/>
    </xf>
    <xf numFmtId="0" fontId="128" fillId="0" borderId="17" xfId="0" applyFont="1" applyBorder="1" applyAlignment="1">
      <alignment horizontal="center"/>
    </xf>
    <xf numFmtId="0" fontId="128" fillId="0" borderId="108" xfId="0" applyFont="1" applyBorder="1" applyAlignment="1">
      <alignment horizontal="center"/>
    </xf>
    <xf numFmtId="0" fontId="18" fillId="85" borderId="21" xfId="0" applyFont="1" applyFill="1" applyBorder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85" borderId="39" xfId="0" applyFont="1" applyFill="1" applyBorder="1" applyAlignment="1">
      <alignment horizontal="center" vertical="center"/>
    </xf>
    <xf numFmtId="0" fontId="128" fillId="85" borderId="15" xfId="0" applyFont="1" applyFill="1" applyBorder="1" applyAlignment="1">
      <alignment horizontal="center" vertical="top"/>
    </xf>
    <xf numFmtId="0" fontId="128" fillId="0" borderId="66" xfId="0" applyFont="1" applyBorder="1" applyAlignment="1">
      <alignment horizontal="center"/>
    </xf>
    <xf numFmtId="0" fontId="66" fillId="86" borderId="51" xfId="0" applyFont="1" applyFill="1" applyBorder="1" applyAlignment="1">
      <alignment horizontal="center" vertical="center"/>
    </xf>
    <xf numFmtId="0" fontId="66" fillId="86" borderId="10" xfId="0" applyFont="1" applyFill="1" applyBorder="1" applyAlignment="1">
      <alignment horizontal="center" vertical="center"/>
    </xf>
  </cellXfs>
  <cellStyles count="151">
    <cellStyle name="20% - Accent1 2" xfId="1"/>
    <cellStyle name="20% - Accent1 2 2" xfId="2"/>
    <cellStyle name="20% - Accent1 3" xfId="3"/>
    <cellStyle name="20% - Accent2 2" xfId="4"/>
    <cellStyle name="20% - Accent2 2 2" xfId="5"/>
    <cellStyle name="20% - Accent2 3" xfId="6"/>
    <cellStyle name="20% - Accent3 2" xfId="7"/>
    <cellStyle name="20% - Accent3 2 2" xfId="8"/>
    <cellStyle name="20% - Accent3 3" xfId="9"/>
    <cellStyle name="20% - Accent4 2" xfId="10"/>
    <cellStyle name="20% - Accent4 2 2" xfId="11"/>
    <cellStyle name="20% - Accent4 3" xfId="12"/>
    <cellStyle name="20% - Accent5 2" xfId="13"/>
    <cellStyle name="20% - Accent5 2 2" xfId="14"/>
    <cellStyle name="20% - Accent5 3" xfId="15"/>
    <cellStyle name="20% - Accent6 2" xfId="16"/>
    <cellStyle name="20% - Accent6 2 2" xfId="17"/>
    <cellStyle name="20% - Accent6 3" xfId="18"/>
    <cellStyle name="40% - Accent1 2" xfId="19"/>
    <cellStyle name="40% - Accent1 2 2" xfId="20"/>
    <cellStyle name="40% - Accent1 3" xfId="21"/>
    <cellStyle name="40% - Accent2 2" xfId="22"/>
    <cellStyle name="40% - Accent2 2 2" xfId="23"/>
    <cellStyle name="40% - Accent2 3" xfId="24"/>
    <cellStyle name="40% - Accent3 2" xfId="25"/>
    <cellStyle name="40% - Accent3 2 2" xfId="26"/>
    <cellStyle name="40% - Accent3 3" xfId="27"/>
    <cellStyle name="40% - Accent4 2" xfId="28"/>
    <cellStyle name="40% - Accent4 2 2" xfId="29"/>
    <cellStyle name="40% - Accent4 3" xfId="30"/>
    <cellStyle name="40% - Accent5 2" xfId="31"/>
    <cellStyle name="40% - Accent5 2 2" xfId="32"/>
    <cellStyle name="40% - Accent5 3" xfId="33"/>
    <cellStyle name="40% - Accent6 2" xfId="34"/>
    <cellStyle name="40% - Accent6 2 2" xfId="35"/>
    <cellStyle name="40% - Accent6 3" xfId="36"/>
    <cellStyle name="60% - Accent1 2" xfId="37"/>
    <cellStyle name="60% - Accent1 2 2" xfId="38"/>
    <cellStyle name="60% - Accent1 3" xfId="39"/>
    <cellStyle name="60% - Accent2 2" xfId="40"/>
    <cellStyle name="60% - Accent2 2 2" xfId="41"/>
    <cellStyle name="60% - Accent2 3" xfId="42"/>
    <cellStyle name="60% - Accent3 2" xfId="43"/>
    <cellStyle name="60% - Accent3 2 2" xfId="44"/>
    <cellStyle name="60% - Accent3 3" xfId="45"/>
    <cellStyle name="60% - Accent4 2" xfId="46"/>
    <cellStyle name="60% - Accent4 2 2" xfId="47"/>
    <cellStyle name="60% - Accent4 3" xfId="48"/>
    <cellStyle name="60% - Accent5 2" xfId="49"/>
    <cellStyle name="60% - Accent5 2 2" xfId="50"/>
    <cellStyle name="60% - Accent5 3" xfId="51"/>
    <cellStyle name="60% - Accent6 2" xfId="52"/>
    <cellStyle name="60% - Accent6 2 2" xfId="53"/>
    <cellStyle name="60% - Accent6 3" xfId="54"/>
    <cellStyle name="Accent1 2" xfId="55"/>
    <cellStyle name="Accent1 2 2" xfId="56"/>
    <cellStyle name="Accent1 3" xfId="57"/>
    <cellStyle name="Accent2 2" xfId="58"/>
    <cellStyle name="Accent2 2 2" xfId="59"/>
    <cellStyle name="Accent2 3" xfId="60"/>
    <cellStyle name="Accent3 2" xfId="61"/>
    <cellStyle name="Accent3 2 2" xfId="62"/>
    <cellStyle name="Accent3 3" xfId="63"/>
    <cellStyle name="Accent4 2" xfId="64"/>
    <cellStyle name="Accent4 2 2" xfId="65"/>
    <cellStyle name="Accent4 3" xfId="66"/>
    <cellStyle name="Accent5 2" xfId="67"/>
    <cellStyle name="Accent5 2 2" xfId="68"/>
    <cellStyle name="Accent5 3" xfId="69"/>
    <cellStyle name="Accent6 2" xfId="70"/>
    <cellStyle name="Accent6 2 2" xfId="71"/>
    <cellStyle name="Accent6 3" xfId="72"/>
    <cellStyle name="Bad 2" xfId="73"/>
    <cellStyle name="Bad 2 2" xfId="74"/>
    <cellStyle name="Bad 3" xfId="75"/>
    <cellStyle name="Calculation 2" xfId="76"/>
    <cellStyle name="Calculation 2 2" xfId="77"/>
    <cellStyle name="Calculation 3" xfId="78"/>
    <cellStyle name="CExplanatory Text" xfId="79"/>
    <cellStyle name="Check Cell 2" xfId="80"/>
    <cellStyle name="Check Cell 2 2" xfId="81"/>
    <cellStyle name="Check Cell 3" xfId="82"/>
    <cellStyle name="Explanatory Text 2" xfId="83"/>
    <cellStyle name="Explanatory Text 2 2" xfId="84"/>
    <cellStyle name="Good 2" xfId="85"/>
    <cellStyle name="Good 2 2" xfId="86"/>
    <cellStyle name="Good 3" xfId="87"/>
    <cellStyle name="Heading 1 2" xfId="88"/>
    <cellStyle name="Heading 1 2 2" xfId="89"/>
    <cellStyle name="Heading 1 3" xfId="90"/>
    <cellStyle name="Heading 2 2" xfId="91"/>
    <cellStyle name="Heading 2 2 2" xfId="92"/>
    <cellStyle name="Heading 2 3" xfId="93"/>
    <cellStyle name="Heading 3 2" xfId="94"/>
    <cellStyle name="Heading 3 2 2" xfId="95"/>
    <cellStyle name="Heading 3 3" xfId="96"/>
    <cellStyle name="Heading 4 2" xfId="97"/>
    <cellStyle name="Heading 4 2 2" xfId="98"/>
    <cellStyle name="Heading 4 3" xfId="99"/>
    <cellStyle name="Input 2" xfId="100"/>
    <cellStyle name="Input 2 2" xfId="101"/>
    <cellStyle name="Input 3" xfId="102"/>
    <cellStyle name="Linked Cell 2" xfId="103"/>
    <cellStyle name="Linked Cell 2 2" xfId="104"/>
    <cellStyle name="Linked Cell 3" xfId="105"/>
    <cellStyle name="Neutral 2" xfId="106"/>
    <cellStyle name="Neutral 2 2" xfId="107"/>
    <cellStyle name="Neutral 3" xfId="108"/>
    <cellStyle name="Normal" xfId="0" builtinId="0"/>
    <cellStyle name="Normal 10" xfId="109"/>
    <cellStyle name="Normal 11" xfId="110"/>
    <cellStyle name="Normal 11 2" xfId="111"/>
    <cellStyle name="Normal 11 3" xfId="143"/>
    <cellStyle name="Normal 11 3 2" xfId="148"/>
    <cellStyle name="Normal 11 4" xfId="144"/>
    <cellStyle name="Normal 11 4 2" xfId="149"/>
    <cellStyle name="Normal 11 5" xfId="145"/>
    <cellStyle name="Normal 11 5 2" xfId="150"/>
    <cellStyle name="Normal 11 6" xfId="147"/>
    <cellStyle name="Normal 12" xfId="112"/>
    <cellStyle name="Normal 13" xfId="146"/>
    <cellStyle name="Normal 2" xfId="113"/>
    <cellStyle name="Normal 2 2" xfId="114"/>
    <cellStyle name="Normal 2 2 2" xfId="115"/>
    <cellStyle name="Normal 2 2_02-TKB- T1-27-08-2018" xfId="116"/>
    <cellStyle name="Normal 3" xfId="117"/>
    <cellStyle name="Normal 4" xfId="118"/>
    <cellStyle name="Normal 4 2" xfId="119"/>
    <cellStyle name="Normal 4_02-TKB- T1-27-08-2018" xfId="120"/>
    <cellStyle name="Normal 5" xfId="121"/>
    <cellStyle name="Normal 6" xfId="122"/>
    <cellStyle name="Normal 7" xfId="123"/>
    <cellStyle name="Normal 8" xfId="124"/>
    <cellStyle name="Normal 9" xfId="125"/>
    <cellStyle name="Note 2" xfId="126"/>
    <cellStyle name="Note 2 2" xfId="127"/>
    <cellStyle name="Note 2 2 2" xfId="128"/>
    <cellStyle name="Note 2 3" xfId="129"/>
    <cellStyle name="Note 3" xfId="130"/>
    <cellStyle name="Output 2" xfId="131"/>
    <cellStyle name="Output 2 2" xfId="132"/>
    <cellStyle name="Output 3" xfId="133"/>
    <cellStyle name="Title 2" xfId="134"/>
    <cellStyle name="Title 2 2" xfId="135"/>
    <cellStyle name="Title 3" xfId="136"/>
    <cellStyle name="Total 2" xfId="137"/>
    <cellStyle name="Total 2 2" xfId="138"/>
    <cellStyle name="Total 3" xfId="139"/>
    <cellStyle name="Warning Text 2" xfId="140"/>
    <cellStyle name="Warning Text 2 2" xfId="141"/>
    <cellStyle name="Warning Text 3" xfId="142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51</xdr:row>
      <xdr:rowOff>123825</xdr:rowOff>
    </xdr:from>
    <xdr:to>
      <xdr:col>9</xdr:col>
      <xdr:colOff>38100</xdr:colOff>
      <xdr:row>53</xdr:row>
      <xdr:rowOff>38100</xdr:rowOff>
    </xdr:to>
    <xdr:sp macro="" textlink="">
      <xdr:nvSpPr>
        <xdr:cNvPr id="70762" name="Text Box 1">
          <a:extLst>
            <a:ext uri="{FF2B5EF4-FFF2-40B4-BE49-F238E27FC236}">
              <a16:creationId xmlns="" xmlns:a16="http://schemas.microsoft.com/office/drawing/2014/main" id="{00000000-0008-0000-0000-00006A140100}"/>
            </a:ext>
          </a:extLst>
        </xdr:cNvPr>
        <xdr:cNvSpPr txBox="1">
          <a:spLocks noChangeArrowheads="1"/>
        </xdr:cNvSpPr>
      </xdr:nvSpPr>
      <xdr:spPr bwMode="auto">
        <a:xfrm>
          <a:off x="2517775" y="8315325"/>
          <a:ext cx="7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71475"/>
          <a:ext cx="2409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248150" y="37147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34</xdr:row>
      <xdr:rowOff>0</xdr:rowOff>
    </xdr:from>
    <xdr:to>
      <xdr:col>5</xdr:col>
      <xdr:colOff>28575</xdr:colOff>
      <xdr:row>35</xdr:row>
      <xdr:rowOff>123825</xdr:rowOff>
    </xdr:to>
    <xdr:sp macro="" textlink="">
      <xdr:nvSpPr>
        <xdr:cNvPr id="71999" name="Text Box 1">
          <a:extLst>
            <a:ext uri="{FF2B5EF4-FFF2-40B4-BE49-F238E27FC236}">
              <a16:creationId xmlns="" xmlns:a16="http://schemas.microsoft.com/office/drawing/2014/main" id="{00000000-0008-0000-0100-00003F190100}"/>
            </a:ext>
          </a:extLst>
        </xdr:cNvPr>
        <xdr:cNvSpPr txBox="1">
          <a:spLocks noChangeArrowheads="1"/>
        </xdr:cNvSpPr>
      </xdr:nvSpPr>
      <xdr:spPr bwMode="auto">
        <a:xfrm>
          <a:off x="4505325" y="7686675"/>
          <a:ext cx="238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0</xdr:colOff>
      <xdr:row>28</xdr:row>
      <xdr:rowOff>114300</xdr:rowOff>
    </xdr:to>
    <xdr:sp macro="" textlink="">
      <xdr:nvSpPr>
        <xdr:cNvPr id="72000" name="Text Box 1">
          <a:extLst>
            <a:ext uri="{FF2B5EF4-FFF2-40B4-BE49-F238E27FC236}">
              <a16:creationId xmlns="" xmlns:a16="http://schemas.microsoft.com/office/drawing/2014/main" id="{00000000-0008-0000-0100-000040190100}"/>
            </a:ext>
          </a:extLst>
        </xdr:cNvPr>
        <xdr:cNvSpPr txBox="1">
          <a:spLocks noChangeArrowheads="1"/>
        </xdr:cNvSpPr>
      </xdr:nvSpPr>
      <xdr:spPr bwMode="auto">
        <a:xfrm>
          <a:off x="8696325" y="17335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539750</xdr:colOff>
      <xdr:row>1</xdr:row>
      <xdr:rowOff>12700</xdr:rowOff>
    </xdr:from>
    <xdr:to>
      <xdr:col>3</xdr:col>
      <xdr:colOff>63500</xdr:colOff>
      <xdr:row>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22350" y="438150"/>
          <a:ext cx="1949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</xdr:row>
      <xdr:rowOff>19050</xdr:rowOff>
    </xdr:from>
    <xdr:to>
      <xdr:col>7</xdr:col>
      <xdr:colOff>1425575</xdr:colOff>
      <xdr:row>1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102350" y="444500"/>
          <a:ext cx="1952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</xdr:colOff>
      <xdr:row>2</xdr:row>
      <xdr:rowOff>8282</xdr:rowOff>
    </xdr:from>
    <xdr:to>
      <xdr:col>16</xdr:col>
      <xdr:colOff>82826</xdr:colOff>
      <xdr:row>2</xdr:row>
      <xdr:rowOff>8282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3717" y="372717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38652</xdr:colOff>
      <xdr:row>1</xdr:row>
      <xdr:rowOff>187740</xdr:rowOff>
    </xdr:from>
    <xdr:to>
      <xdr:col>46</xdr:col>
      <xdr:colOff>5522</xdr:colOff>
      <xdr:row>2</xdr:row>
      <xdr:rowOff>5522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090478" y="347870"/>
          <a:ext cx="1623392" cy="110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223630</xdr:colOff>
      <xdr:row>1</xdr:row>
      <xdr:rowOff>49695</xdr:rowOff>
    </xdr:from>
    <xdr:to>
      <xdr:col>14</xdr:col>
      <xdr:colOff>173935</xdr:colOff>
      <xdr:row>1</xdr:row>
      <xdr:rowOff>49695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23630" y="289891"/>
          <a:ext cx="160682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139213</xdr:colOff>
      <xdr:row>23</xdr:row>
      <xdr:rowOff>139430</xdr:rowOff>
    </xdr:from>
    <xdr:ext cx="186810" cy="2534898"/>
    <xdr:sp macro="" textlink="">
      <xdr:nvSpPr>
        <xdr:cNvPr id="2" name="Freeform: Shap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39213" y="4330430"/>
          <a:ext cx="186810" cy="253489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rtlCol="0" anchor="t">
          <a:noAutofit/>
        </a:bodyPr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18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297118</xdr:colOff>
      <xdr:row>18</xdr:row>
      <xdr:rowOff>29308</xdr:rowOff>
    </xdr:from>
    <xdr:to>
      <xdr:col>23</xdr:col>
      <xdr:colOff>27793</xdr:colOff>
      <xdr:row>19</xdr:row>
      <xdr:rowOff>14659</xdr:rowOff>
    </xdr:to>
    <xdr:sp macro="" textlink="">
      <xdr:nvSpPr>
        <xdr:cNvPr id="3" name="Freeform: Shap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 rot="5400000">
          <a:off x="4961588" y="706165"/>
          <a:ext cx="168524" cy="510131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 nhà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hành chính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289791</xdr:colOff>
      <xdr:row>10</xdr:row>
      <xdr:rowOff>45430</xdr:rowOff>
    </xdr:from>
    <xdr:to>
      <xdr:col>23</xdr:col>
      <xdr:colOff>33604</xdr:colOff>
      <xdr:row>11</xdr:row>
      <xdr:rowOff>7578</xdr:rowOff>
    </xdr:to>
    <xdr:sp macro="" textlink="">
      <xdr:nvSpPr>
        <xdr:cNvPr id="4" name="Freeform: Shap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4829556" y="-669681"/>
          <a:ext cx="145321" cy="5239005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9144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21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19707</xdr:colOff>
      <xdr:row>24</xdr:row>
      <xdr:rowOff>53208</xdr:rowOff>
    </xdr:from>
    <xdr:to>
      <xdr:col>15</xdr:col>
      <xdr:colOff>322384</xdr:colOff>
      <xdr:row>25</xdr:row>
      <xdr:rowOff>171450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4858407" y="4291833"/>
          <a:ext cx="302677" cy="29921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322385</xdr:colOff>
      <xdr:row>18</xdr:row>
      <xdr:rowOff>0</xdr:rowOff>
    </xdr:from>
    <xdr:to>
      <xdr:col>29</xdr:col>
      <xdr:colOff>154875</xdr:colOff>
      <xdr:row>28</xdr:row>
      <xdr:rowOff>2954</xdr:rowOff>
    </xdr:to>
    <xdr:sp macro="" textlink="">
      <xdr:nvSpPr>
        <xdr:cNvPr id="6" name="Freeform: Shap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9129347" y="3275135"/>
          <a:ext cx="169528" cy="183468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thí nghiệm thực hành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28</xdr:col>
      <xdr:colOff>324906</xdr:colOff>
      <xdr:row>28</xdr:row>
      <xdr:rowOff>177361</xdr:rowOff>
    </xdr:from>
    <xdr:to>
      <xdr:col>29</xdr:col>
      <xdr:colOff>162658</xdr:colOff>
      <xdr:row>37</xdr:row>
      <xdr:rowOff>177362</xdr:rowOff>
    </xdr:to>
    <xdr:sp macro="" textlink="">
      <xdr:nvSpPr>
        <xdr:cNvPr id="7" name="Freeform: Shap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8897406" y="5269573"/>
          <a:ext cx="174790" cy="164855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tổ chuyên môn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300404</xdr:colOff>
      <xdr:row>1</xdr:row>
      <xdr:rowOff>44686</xdr:rowOff>
    </xdr:from>
    <xdr:to>
      <xdr:col>6</xdr:col>
      <xdr:colOff>19705</xdr:colOff>
      <xdr:row>2</xdr:row>
      <xdr:rowOff>14654</xdr:rowOff>
    </xdr:to>
    <xdr:sp macro="" textlink="">
      <xdr:nvSpPr>
        <xdr:cNvPr id="8" name="Freeform: Shap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>
        <a:xfrm rot="5400000">
          <a:off x="1079945" y="-471086"/>
          <a:ext cx="153141" cy="171222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315056</xdr:colOff>
      <xdr:row>0</xdr:row>
      <xdr:rowOff>80597</xdr:rowOff>
    </xdr:from>
    <xdr:to>
      <xdr:col>32</xdr:col>
      <xdr:colOff>0</xdr:colOff>
      <xdr:row>1</xdr:row>
      <xdr:rowOff>14654</xdr:rowOff>
    </xdr:to>
    <xdr:sp macro="" textlink="">
      <xdr:nvSpPr>
        <xdr:cNvPr id="9" name="Freeform: Shap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>
        <a:xfrm rot="5400000">
          <a:off x="8993797" y="-802298"/>
          <a:ext cx="197826" cy="196361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27</xdr:col>
      <xdr:colOff>319988</xdr:colOff>
      <xdr:row>10</xdr:row>
      <xdr:rowOff>151660</xdr:rowOff>
    </xdr:from>
    <xdr:to>
      <xdr:col>28</xdr:col>
      <xdr:colOff>80596</xdr:colOff>
      <xdr:row>14</xdr:row>
      <xdr:rowOff>20155</xdr:rowOff>
    </xdr:to>
    <xdr:sp macro="" textlink="">
      <xdr:nvSpPr>
        <xdr:cNvPr id="10" name="Freeform: Shap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9031700" y="1902795"/>
          <a:ext cx="97646" cy="57920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331479</xdr:colOff>
      <xdr:row>14</xdr:row>
      <xdr:rowOff>95255</xdr:rowOff>
    </xdr:from>
    <xdr:to>
      <xdr:col>28</xdr:col>
      <xdr:colOff>337038</xdr:colOff>
      <xdr:row>15</xdr:row>
      <xdr:rowOff>21984</xdr:rowOff>
    </xdr:to>
    <xdr:sp macro="" textlink="">
      <xdr:nvSpPr>
        <xdr:cNvPr id="11" name="Freeform: Shap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 rot="5400000">
          <a:off x="8822500" y="2103715"/>
          <a:ext cx="109902" cy="101667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104775</xdr:colOff>
      <xdr:row>24</xdr:row>
      <xdr:rowOff>133350</xdr:rowOff>
    </xdr:from>
    <xdr:to>
      <xdr:col>15</xdr:col>
      <xdr:colOff>257176</xdr:colOff>
      <xdr:row>25</xdr:row>
      <xdr:rowOff>85725</xdr:rowOff>
    </xdr:to>
    <xdr:sp macro="" textlink="">
      <xdr:nvSpPr>
        <xdr:cNvPr id="12" name="5-Point Star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>
        <a:xfrm>
          <a:off x="4943475" y="4371975"/>
          <a:ext cx="152401" cy="13335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294845</xdr:colOff>
      <xdr:row>38</xdr:row>
      <xdr:rowOff>114303</xdr:rowOff>
    </xdr:from>
    <xdr:to>
      <xdr:col>21</xdr:col>
      <xdr:colOff>21980</xdr:colOff>
      <xdr:row>39</xdr:row>
      <xdr:rowOff>19052</xdr:rowOff>
    </xdr:to>
    <xdr:sp macro="" textlink="">
      <xdr:nvSpPr>
        <xdr:cNvPr id="13" name="Freeform: Shape 12">
          <a:extLst>
            <a:ext uri="{FF2B5EF4-FFF2-40B4-BE49-F238E27FC236}">
              <a16:creationId xmlns="" xmlns:a16="http://schemas.microsoft.com/office/drawing/2014/main" id="{BA26C21E-0A43-003B-9A11-35316B76CBC2}"/>
            </a:ext>
          </a:extLst>
        </xdr:cNvPr>
        <xdr:cNvSpPr/>
      </xdr:nvSpPr>
      <xdr:spPr>
        <a:xfrm rot="5400000">
          <a:off x="6440150" y="6580098"/>
          <a:ext cx="114299" cy="72726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302171</xdr:colOff>
      <xdr:row>17</xdr:row>
      <xdr:rowOff>95253</xdr:rowOff>
    </xdr:from>
    <xdr:to>
      <xdr:col>3</xdr:col>
      <xdr:colOff>732</xdr:colOff>
      <xdr:row>18</xdr:row>
      <xdr:rowOff>3813</xdr:rowOff>
    </xdr:to>
    <xdr:sp macro="" textlink="">
      <xdr:nvSpPr>
        <xdr:cNvPr id="14" name="Freeform: Shape 13">
          <a:extLst>
            <a:ext uri="{FF2B5EF4-FFF2-40B4-BE49-F238E27FC236}">
              <a16:creationId xmlns="" xmlns:a16="http://schemas.microsoft.com/office/drawing/2014/main" id="{DF4314F8-8AA5-B090-88A0-384AD040B4AA}"/>
            </a:ext>
          </a:extLst>
        </xdr:cNvPr>
        <xdr:cNvSpPr/>
      </xdr:nvSpPr>
      <xdr:spPr>
        <a:xfrm rot="5400000">
          <a:off x="582934" y="2805340"/>
          <a:ext cx="70485" cy="632011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AA101"/>
  <sheetViews>
    <sheetView topLeftCell="A24" zoomScaleNormal="100" workbookViewId="0">
      <selection activeCell="D48" sqref="D48"/>
    </sheetView>
  </sheetViews>
  <sheetFormatPr defaultColWidth="9" defaultRowHeight="12" x14ac:dyDescent="0.2"/>
  <cols>
    <col min="1" max="1" width="3.125" style="34" bestFit="1" customWidth="1"/>
    <col min="2" max="2" width="3.5" style="34" bestFit="1" customWidth="1"/>
    <col min="3" max="3" width="17.625" style="9" bestFit="1" customWidth="1"/>
    <col min="4" max="4" width="2.875" style="34" bestFit="1" customWidth="1"/>
    <col min="5" max="5" width="2.5" style="34" bestFit="1" customWidth="1"/>
    <col min="6" max="7" width="2.5" style="34" customWidth="1"/>
    <col min="8" max="8" width="6.875" style="34" bestFit="1" customWidth="1"/>
    <col min="9" max="9" width="6.375" style="34" bestFit="1" customWidth="1"/>
    <col min="10" max="10" width="5.125" style="34" bestFit="1" customWidth="1"/>
    <col min="11" max="11" width="4.625" style="34" customWidth="1"/>
    <col min="12" max="12" width="4.875" style="34" customWidth="1"/>
    <col min="13" max="13" width="7.375" style="34" bestFit="1" customWidth="1"/>
    <col min="14" max="14" width="5.625" style="34" bestFit="1" customWidth="1"/>
    <col min="15" max="15" width="7.125" style="34" bestFit="1" customWidth="1"/>
    <col min="16" max="16" width="10.125" style="34" customWidth="1"/>
    <col min="17" max="16384" width="9" style="9"/>
  </cols>
  <sheetData>
    <row r="1" spans="1:16" ht="29.25" customHeight="1" x14ac:dyDescent="0.25">
      <c r="A1" s="574" t="s">
        <v>333</v>
      </c>
      <c r="B1" s="575"/>
      <c r="C1" s="575"/>
      <c r="D1" s="575"/>
      <c r="E1" s="575"/>
      <c r="F1" s="575"/>
      <c r="G1" s="575"/>
      <c r="H1" s="575"/>
      <c r="I1" s="576" t="s">
        <v>331</v>
      </c>
      <c r="J1" s="577"/>
      <c r="K1" s="577"/>
      <c r="L1" s="577"/>
      <c r="M1" s="577"/>
      <c r="N1" s="577"/>
      <c r="O1" s="577"/>
      <c r="P1" s="577"/>
    </row>
    <row r="2" spans="1:16" ht="22.5" customHeight="1" x14ac:dyDescent="0.2">
      <c r="A2" s="578" t="s">
        <v>332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</row>
    <row r="3" spans="1:16" s="11" customFormat="1" ht="10.5" x14ac:dyDescent="0.15">
      <c r="A3" s="2" t="s">
        <v>2</v>
      </c>
      <c r="B3" s="2" t="s">
        <v>6</v>
      </c>
      <c r="C3" s="2" t="s">
        <v>7</v>
      </c>
      <c r="D3" s="2" t="s">
        <v>328</v>
      </c>
      <c r="E3" s="2" t="s">
        <v>8</v>
      </c>
      <c r="F3" s="2" t="s">
        <v>329</v>
      </c>
      <c r="G3" s="2" t="s">
        <v>330</v>
      </c>
      <c r="H3" s="2" t="s">
        <v>319</v>
      </c>
      <c r="I3" s="2" t="s">
        <v>9</v>
      </c>
      <c r="J3" s="2" t="s">
        <v>334</v>
      </c>
      <c r="K3" s="2" t="s">
        <v>423</v>
      </c>
      <c r="L3" s="2" t="s">
        <v>424</v>
      </c>
      <c r="M3" s="40" t="s">
        <v>477</v>
      </c>
      <c r="N3" s="2" t="s">
        <v>10</v>
      </c>
      <c r="O3" s="2" t="s">
        <v>11</v>
      </c>
      <c r="P3" s="2" t="s">
        <v>12</v>
      </c>
    </row>
    <row r="4" spans="1:16" ht="12.75" x14ac:dyDescent="0.2">
      <c r="A4" s="12">
        <v>1</v>
      </c>
      <c r="B4" s="13" t="s">
        <v>13</v>
      </c>
      <c r="C4" s="14" t="s">
        <v>115</v>
      </c>
      <c r="D4" s="12"/>
      <c r="E4" s="12"/>
      <c r="F4" s="12"/>
      <c r="G4" s="12"/>
      <c r="H4" s="12" t="s">
        <v>320</v>
      </c>
      <c r="I4" s="12" t="s">
        <v>17</v>
      </c>
      <c r="J4" s="12"/>
      <c r="K4" s="362" t="s">
        <v>215</v>
      </c>
      <c r="L4" s="362" t="s">
        <v>148</v>
      </c>
      <c r="M4" s="117" t="s">
        <v>124</v>
      </c>
      <c r="N4" s="12">
        <f t="shared" ref="N4:N35" si="0">17-(IF(I4="HT",15,IF(I4="PHT",13,0))+IF(I4="GVTS",2,0))</f>
        <v>17</v>
      </c>
      <c r="O4" s="8">
        <f t="shared" ref="O4:O10" si="1">(IF(I4="HT",15,IF(I4="BTĐ",11.9,IF(I4="PHT",13,IF(I4="PBTĐ",5.95,IF(I4="giáo vụ",4,IF(OR(I4="TTCM",I4="CTCĐ",I4="LĐ",P4="Con nhỏ"),3,IF(OR(I4="TKHĐ",I4="TTrND"),2,0))))))+(IF(OR(J4="CĐ",J4="TVTL"),1,IF(J4="PBM",2,0)))))</f>
        <v>0</v>
      </c>
      <c r="P4" s="12"/>
    </row>
    <row r="5" spans="1:16" ht="12.75" x14ac:dyDescent="0.2">
      <c r="A5" s="12">
        <v>2</v>
      </c>
      <c r="B5" s="13" t="s">
        <v>45</v>
      </c>
      <c r="C5" s="14" t="s">
        <v>117</v>
      </c>
      <c r="D5" s="12"/>
      <c r="E5" s="12"/>
      <c r="F5" s="12"/>
      <c r="G5" s="12"/>
      <c r="H5" s="12" t="s">
        <v>320</v>
      </c>
      <c r="I5" s="12" t="s">
        <v>218</v>
      </c>
      <c r="J5" s="12"/>
      <c r="K5" s="362" t="s">
        <v>200</v>
      </c>
      <c r="L5" s="362" t="s">
        <v>202</v>
      </c>
      <c r="M5" s="117" t="s">
        <v>140</v>
      </c>
      <c r="N5" s="12">
        <f t="shared" si="0"/>
        <v>17</v>
      </c>
      <c r="O5" s="8">
        <f t="shared" si="1"/>
        <v>3</v>
      </c>
      <c r="P5" s="12"/>
    </row>
    <row r="6" spans="1:16" ht="12.95" customHeight="1" x14ac:dyDescent="0.2">
      <c r="A6" s="12">
        <v>3</v>
      </c>
      <c r="B6" s="13" t="s">
        <v>46</v>
      </c>
      <c r="C6" s="14" t="s">
        <v>118</v>
      </c>
      <c r="D6" s="12" t="s">
        <v>298</v>
      </c>
      <c r="E6" s="12"/>
      <c r="F6" s="12"/>
      <c r="G6" s="12"/>
      <c r="H6" s="12" t="s">
        <v>320</v>
      </c>
      <c r="I6" s="12" t="s">
        <v>367</v>
      </c>
      <c r="J6" s="12"/>
      <c r="K6" s="362"/>
      <c r="L6" s="362"/>
      <c r="M6" s="117"/>
      <c r="N6" s="12">
        <f t="shared" si="0"/>
        <v>17</v>
      </c>
      <c r="O6" s="8">
        <f t="shared" si="1"/>
        <v>4</v>
      </c>
      <c r="P6" s="12"/>
    </row>
    <row r="7" spans="1:16" ht="12.75" x14ac:dyDescent="0.2">
      <c r="A7" s="12">
        <v>4</v>
      </c>
      <c r="B7" s="13" t="s">
        <v>47</v>
      </c>
      <c r="C7" s="14" t="s">
        <v>119</v>
      </c>
      <c r="D7" s="12" t="s">
        <v>298</v>
      </c>
      <c r="E7" s="12" t="s">
        <v>298</v>
      </c>
      <c r="F7" s="12" t="s">
        <v>298</v>
      </c>
      <c r="G7" s="12"/>
      <c r="H7" s="12" t="s">
        <v>320</v>
      </c>
      <c r="I7" s="12" t="s">
        <v>17</v>
      </c>
      <c r="J7" s="12"/>
      <c r="K7" s="362" t="s">
        <v>21</v>
      </c>
      <c r="L7" s="362" t="s">
        <v>24</v>
      </c>
      <c r="M7" s="117" t="s">
        <v>30</v>
      </c>
      <c r="N7" s="12">
        <f t="shared" si="0"/>
        <v>17</v>
      </c>
      <c r="O7" s="8">
        <f t="shared" si="1"/>
        <v>0</v>
      </c>
      <c r="P7" s="12"/>
    </row>
    <row r="8" spans="1:16" ht="12.75" x14ac:dyDescent="0.2">
      <c r="A8" s="12">
        <v>5</v>
      </c>
      <c r="B8" s="13" t="s">
        <v>48</v>
      </c>
      <c r="C8" s="14" t="s">
        <v>120</v>
      </c>
      <c r="D8" s="12"/>
      <c r="E8" s="12"/>
      <c r="F8" s="12"/>
      <c r="G8" s="12"/>
      <c r="H8" s="12" t="s">
        <v>320</v>
      </c>
      <c r="I8" s="12" t="s">
        <v>17</v>
      </c>
      <c r="J8" s="12"/>
      <c r="K8" s="362" t="s">
        <v>202</v>
      </c>
      <c r="L8" s="362" t="s">
        <v>21</v>
      </c>
      <c r="M8" s="117"/>
      <c r="N8" s="12">
        <f t="shared" si="0"/>
        <v>17</v>
      </c>
      <c r="O8" s="8">
        <f t="shared" si="1"/>
        <v>0</v>
      </c>
      <c r="P8" s="12"/>
    </row>
    <row r="9" spans="1:16" ht="12.75" x14ac:dyDescent="0.2">
      <c r="A9" s="12">
        <v>6</v>
      </c>
      <c r="B9" s="13" t="s">
        <v>49</v>
      </c>
      <c r="C9" s="14" t="s">
        <v>122</v>
      </c>
      <c r="D9" s="12"/>
      <c r="E9" s="12" t="s">
        <v>298</v>
      </c>
      <c r="F9" s="12"/>
      <c r="G9" s="12"/>
      <c r="H9" s="12" t="s">
        <v>320</v>
      </c>
      <c r="I9" s="12" t="s">
        <v>15</v>
      </c>
      <c r="J9" s="12"/>
      <c r="K9" s="362"/>
      <c r="L9" s="362"/>
      <c r="M9" s="117"/>
      <c r="N9" s="12">
        <f t="shared" si="0"/>
        <v>17</v>
      </c>
      <c r="O9" s="8">
        <f t="shared" si="1"/>
        <v>3</v>
      </c>
      <c r="P9" s="12"/>
    </row>
    <row r="10" spans="1:16" ht="12.75" x14ac:dyDescent="0.2">
      <c r="A10" s="12">
        <v>7</v>
      </c>
      <c r="B10" s="13" t="s">
        <v>50</v>
      </c>
      <c r="C10" s="14" t="s">
        <v>123</v>
      </c>
      <c r="D10" s="12"/>
      <c r="E10" s="12" t="s">
        <v>298</v>
      </c>
      <c r="F10" s="12" t="s">
        <v>298</v>
      </c>
      <c r="G10" s="12"/>
      <c r="H10" s="12" t="s">
        <v>320</v>
      </c>
      <c r="I10" s="12" t="s">
        <v>17</v>
      </c>
      <c r="J10" s="12"/>
      <c r="K10" s="362" t="s">
        <v>18</v>
      </c>
      <c r="L10" s="362" t="s">
        <v>27</v>
      </c>
      <c r="M10" s="117" t="s">
        <v>197</v>
      </c>
      <c r="N10" s="12">
        <f t="shared" si="0"/>
        <v>17</v>
      </c>
      <c r="O10" s="8">
        <f t="shared" si="1"/>
        <v>0</v>
      </c>
      <c r="P10" s="12"/>
    </row>
    <row r="11" spans="1:16" ht="12.75" x14ac:dyDescent="0.2">
      <c r="A11" s="12">
        <v>8</v>
      </c>
      <c r="B11" s="13" t="s">
        <v>51</v>
      </c>
      <c r="C11" s="14" t="s">
        <v>125</v>
      </c>
      <c r="D11" s="12" t="s">
        <v>298</v>
      </c>
      <c r="E11" s="12"/>
      <c r="F11" s="12" t="s">
        <v>298</v>
      </c>
      <c r="G11" s="12"/>
      <c r="H11" s="12" t="s">
        <v>320</v>
      </c>
      <c r="I11" s="12" t="s">
        <v>217</v>
      </c>
      <c r="J11" s="12"/>
      <c r="K11" s="362" t="s">
        <v>24</v>
      </c>
      <c r="L11" s="362" t="s">
        <v>30</v>
      </c>
      <c r="M11" s="117" t="s">
        <v>198</v>
      </c>
      <c r="N11" s="12">
        <f t="shared" si="0"/>
        <v>17</v>
      </c>
      <c r="O11" s="8">
        <v>1</v>
      </c>
      <c r="P11" s="12"/>
    </row>
    <row r="12" spans="1:16" ht="12.75" x14ac:dyDescent="0.2">
      <c r="A12" s="12">
        <v>9</v>
      </c>
      <c r="B12" s="13" t="s">
        <v>53</v>
      </c>
      <c r="C12" s="14" t="s">
        <v>126</v>
      </c>
      <c r="D12" s="12" t="s">
        <v>298</v>
      </c>
      <c r="E12" s="12" t="s">
        <v>298</v>
      </c>
      <c r="F12" s="12"/>
      <c r="G12" s="12"/>
      <c r="H12" s="12" t="s">
        <v>320</v>
      </c>
      <c r="I12" s="12" t="s">
        <v>17</v>
      </c>
      <c r="J12" s="12"/>
      <c r="K12" s="362" t="s">
        <v>30</v>
      </c>
      <c r="L12" s="362" t="s">
        <v>199</v>
      </c>
      <c r="M12" s="117" t="s">
        <v>204</v>
      </c>
      <c r="N12" s="12">
        <f t="shared" si="0"/>
        <v>17</v>
      </c>
      <c r="O12" s="8">
        <f>(IF(I12="HT",15,IF(I12="BTĐ",11.9,IF(I12="PHT",13,IF(I12="PBTĐ",5.95,IF(I12="giáo vụ",4,IF(OR(I12="TTCM",I12="CTCĐ",I12="LĐ",P12="Con nhỏ"),3,IF(OR(I12="TKHĐ",I12="TTrND"),2,0))))))+(IF(OR(J12="CĐ",J12="TVTL"),1,IF(J12="PBM",2,0)))))</f>
        <v>0</v>
      </c>
      <c r="P12" s="12"/>
    </row>
    <row r="13" spans="1:16" ht="12.75" x14ac:dyDescent="0.2">
      <c r="A13" s="12">
        <v>10</v>
      </c>
      <c r="B13" s="13" t="s">
        <v>54</v>
      </c>
      <c r="C13" s="14" t="s">
        <v>127</v>
      </c>
      <c r="D13" s="12" t="s">
        <v>298</v>
      </c>
      <c r="E13" s="12" t="s">
        <v>298</v>
      </c>
      <c r="F13" s="12" t="s">
        <v>298</v>
      </c>
      <c r="G13" s="12"/>
      <c r="H13" s="12" t="s">
        <v>320</v>
      </c>
      <c r="I13" s="12" t="s">
        <v>17</v>
      </c>
      <c r="J13" s="12"/>
      <c r="K13" s="362" t="s">
        <v>203</v>
      </c>
      <c r="L13" s="362" t="s">
        <v>121</v>
      </c>
      <c r="M13" s="117"/>
      <c r="N13" s="12">
        <f t="shared" si="0"/>
        <v>17</v>
      </c>
      <c r="O13" s="8">
        <f>(IF(I13="HT",15,IF(I13="BTĐ",11.9,IF(I13="PHT",13,IF(I13="PBTĐ",5.95,IF(I13="giáo vụ",4,IF(OR(I13="TTCM",I13="CTCĐ",I13="LĐ",P13="Con nhỏ"),3,IF(OR(I13="TKHĐ",I13="TTrND"),2,0))))))+(IF(OR(J13="CĐ",J13="TVTL"),1,IF(J13="PBM",2,0)))))</f>
        <v>0</v>
      </c>
      <c r="P13" s="12"/>
    </row>
    <row r="14" spans="1:16" ht="12.75" x14ac:dyDescent="0.2">
      <c r="A14" s="12">
        <v>11</v>
      </c>
      <c r="B14" s="13" t="s">
        <v>55</v>
      </c>
      <c r="C14" s="14" t="s">
        <v>128</v>
      </c>
      <c r="D14" s="12" t="s">
        <v>298</v>
      </c>
      <c r="E14" s="12" t="s">
        <v>298</v>
      </c>
      <c r="F14" s="12"/>
      <c r="G14" s="12"/>
      <c r="H14" s="12" t="s">
        <v>320</v>
      </c>
      <c r="I14" s="12" t="s">
        <v>17</v>
      </c>
      <c r="J14" s="12"/>
      <c r="K14" s="362" t="s">
        <v>138</v>
      </c>
      <c r="L14" s="362" t="s">
        <v>140</v>
      </c>
      <c r="M14" s="117"/>
      <c r="N14" s="12">
        <f t="shared" si="0"/>
        <v>17</v>
      </c>
      <c r="O14" s="8">
        <f>(IF(I14="HT",15,IF(I14="BTĐ",11.9,IF(I14="PHT",13,IF(I14="PBTĐ",5.95,IF(I14="giáo vụ",4,IF(OR(I14="TTCM",I14="CTCĐ",I14="LĐ",P14="Con nhỏ"),3,IF(OR(I14="TKHĐ",I14="TTrND"),2,0))))))+(IF(OR(J14="CĐ",J14="TVTL"),1,IF(J14="PBM",2,0)))))</f>
        <v>0</v>
      </c>
      <c r="P14" s="12"/>
    </row>
    <row r="15" spans="1:16" ht="14.25" customHeight="1" x14ac:dyDescent="0.2">
      <c r="A15" s="12">
        <v>12</v>
      </c>
      <c r="B15" s="17" t="s">
        <v>236</v>
      </c>
      <c r="C15" s="16" t="s">
        <v>237</v>
      </c>
      <c r="D15" s="12"/>
      <c r="E15" s="12"/>
      <c r="F15" s="12"/>
      <c r="G15" s="12"/>
      <c r="H15" s="12" t="s">
        <v>320</v>
      </c>
      <c r="I15" s="15" t="s">
        <v>434</v>
      </c>
      <c r="J15" s="12"/>
      <c r="K15" s="362" t="s">
        <v>173</v>
      </c>
      <c r="L15" s="362"/>
      <c r="M15" s="117"/>
      <c r="N15" s="12">
        <f t="shared" si="0"/>
        <v>17</v>
      </c>
      <c r="O15" s="8">
        <v>1</v>
      </c>
      <c r="P15" s="12"/>
    </row>
    <row r="16" spans="1:16" ht="12.75" x14ac:dyDescent="0.2">
      <c r="A16" s="12">
        <v>13</v>
      </c>
      <c r="B16" s="18" t="s">
        <v>57</v>
      </c>
      <c r="C16" s="19" t="s">
        <v>129</v>
      </c>
      <c r="D16" s="8" t="s">
        <v>298</v>
      </c>
      <c r="E16" s="8" t="s">
        <v>298</v>
      </c>
      <c r="F16" s="8"/>
      <c r="G16" s="8"/>
      <c r="H16" s="8" t="s">
        <v>23</v>
      </c>
      <c r="I16" s="8" t="s">
        <v>15</v>
      </c>
      <c r="J16" s="8" t="s">
        <v>25</v>
      </c>
      <c r="K16" s="363"/>
      <c r="L16" s="363"/>
      <c r="M16" s="118"/>
      <c r="N16" s="8">
        <f t="shared" si="0"/>
        <v>17</v>
      </c>
      <c r="O16" s="8">
        <v>5</v>
      </c>
      <c r="P16" s="8"/>
    </row>
    <row r="17" spans="1:16" ht="12.75" x14ac:dyDescent="0.2">
      <c r="A17" s="12">
        <v>14</v>
      </c>
      <c r="B17" s="18" t="s">
        <v>58</v>
      </c>
      <c r="C17" s="19" t="s">
        <v>130</v>
      </c>
      <c r="D17" s="8"/>
      <c r="E17" s="8"/>
      <c r="F17" s="8" t="s">
        <v>298</v>
      </c>
      <c r="G17" s="8"/>
      <c r="H17" s="8" t="s">
        <v>23</v>
      </c>
      <c r="I17" s="8" t="s">
        <v>17</v>
      </c>
      <c r="J17" s="8"/>
      <c r="K17" s="363" t="s">
        <v>199</v>
      </c>
      <c r="L17" s="363" t="s">
        <v>201</v>
      </c>
      <c r="M17" s="118" t="s">
        <v>219</v>
      </c>
      <c r="N17" s="8">
        <f t="shared" si="0"/>
        <v>17</v>
      </c>
      <c r="O17" s="8">
        <f>(IF(I17="HT",15,IF(I17="BTĐ",11.9,IF(I17="PHT",13,IF(I17="PBTĐ",5.95,IF(I17="giáo vụ",4,IF(OR(I17="TTCM",I17="CTCĐ",I17="LĐ",P17="Con nhỏ"),3,IF(OR(I17="TKHĐ",I17="TTrND"),2,0))))))+(IF(OR(J17="CĐ",J17="TVTL"),1,IF(J17="PBM",2,0)))))</f>
        <v>0</v>
      </c>
      <c r="P17" s="8"/>
    </row>
    <row r="18" spans="1:16" ht="12.75" x14ac:dyDescent="0.2">
      <c r="A18" s="12">
        <v>15</v>
      </c>
      <c r="B18" s="18" t="s">
        <v>59</v>
      </c>
      <c r="C18" s="19" t="s">
        <v>131</v>
      </c>
      <c r="D18" s="8" t="s">
        <v>298</v>
      </c>
      <c r="E18" s="8"/>
      <c r="F18" s="8"/>
      <c r="G18" s="8"/>
      <c r="H18" s="8" t="s">
        <v>23</v>
      </c>
      <c r="I18" s="8" t="s">
        <v>17</v>
      </c>
      <c r="J18" s="8"/>
      <c r="K18" s="363" t="s">
        <v>196</v>
      </c>
      <c r="L18" s="363" t="s">
        <v>204</v>
      </c>
      <c r="M18" s="118" t="s">
        <v>121</v>
      </c>
      <c r="N18" s="8">
        <f t="shared" si="0"/>
        <v>17</v>
      </c>
      <c r="O18" s="8">
        <f>(IF(I18="HT",15,IF(I18="BTĐ",11.9,IF(I18="PHT",13,IF(I18="PBTĐ",5.95,IF(I18="giáo vụ",4,IF(OR(I18="TTCM",I18="CTCĐ",I18="LĐ",P18="Con nhỏ"),3,IF(OR(I18="TKHĐ",I18="TTrND"),2,0))))))+(IF(OR(J18="CĐ",J18="TVTL"),1,IF(J18="PBM",2,0)))))</f>
        <v>0</v>
      </c>
      <c r="P18" s="8"/>
    </row>
    <row r="19" spans="1:16" ht="12.75" x14ac:dyDescent="0.2">
      <c r="A19" s="12">
        <v>16</v>
      </c>
      <c r="B19" s="18" t="s">
        <v>60</v>
      </c>
      <c r="C19" s="19" t="s">
        <v>132</v>
      </c>
      <c r="D19" s="8"/>
      <c r="E19" s="8"/>
      <c r="F19" s="8" t="s">
        <v>298</v>
      </c>
      <c r="G19" s="8"/>
      <c r="H19" s="8" t="s">
        <v>23</v>
      </c>
      <c r="I19" s="8" t="s">
        <v>17</v>
      </c>
      <c r="J19" s="8"/>
      <c r="K19" s="363" t="s">
        <v>20</v>
      </c>
      <c r="L19" s="363" t="s">
        <v>198</v>
      </c>
      <c r="M19" s="118" t="s">
        <v>203</v>
      </c>
      <c r="N19" s="8">
        <f t="shared" si="0"/>
        <v>17</v>
      </c>
      <c r="O19" s="8">
        <f>(IF(I19="HT",15,IF(I19="BTĐ",11.9,IF(I19="PHT",13,IF(I19="PBTĐ",5.95,IF(I19="giáo vụ",4,IF(OR(I19="TTCM",I19="CTCĐ",I19="LĐ",P19="Con nhỏ"),3,IF(OR(I19="TKHĐ",I19="TTrND"),2,0))))))+(IF(OR(J19="CĐ",J19="TVTL"),1,IF(J19="PBM",2,0)))))</f>
        <v>0</v>
      </c>
      <c r="P19" s="8"/>
    </row>
    <row r="20" spans="1:16" ht="12.75" x14ac:dyDescent="0.2">
      <c r="A20" s="12">
        <v>17</v>
      </c>
      <c r="B20" s="18" t="s">
        <v>61</v>
      </c>
      <c r="C20" s="19" t="s">
        <v>133</v>
      </c>
      <c r="D20" s="8" t="s">
        <v>298</v>
      </c>
      <c r="E20" s="8" t="s">
        <v>298</v>
      </c>
      <c r="F20" s="8"/>
      <c r="G20" s="8"/>
      <c r="H20" s="8" t="s">
        <v>23</v>
      </c>
      <c r="I20" s="8" t="s">
        <v>17</v>
      </c>
      <c r="J20" s="8"/>
      <c r="K20" s="363"/>
      <c r="L20" s="363" t="s">
        <v>203</v>
      </c>
      <c r="M20" s="118" t="s">
        <v>214</v>
      </c>
      <c r="N20" s="8">
        <f t="shared" si="0"/>
        <v>17</v>
      </c>
      <c r="O20" s="8">
        <f>(IF(I20="HT",15,IF(I20="BTĐ",11.9,IF(I20="PHT",13,IF(I20="PBTĐ",5.95,IF(I20="giáo vụ",4,IF(OR(I20="TTCM",I20="CTCĐ",I20="LĐ",P20="Con nhỏ"),3,IF(OR(I20="TKHĐ",I20="TTrND"),2,0))))))+(IF(OR(J20="CĐ",J20="TVTL"),1,IF(J20="PBM",2,0)))))</f>
        <v>0</v>
      </c>
      <c r="P20" s="8"/>
    </row>
    <row r="21" spans="1:16" ht="12.75" x14ac:dyDescent="0.2">
      <c r="A21" s="12">
        <v>18</v>
      </c>
      <c r="B21" s="18" t="s">
        <v>62</v>
      </c>
      <c r="C21" s="19" t="s">
        <v>134</v>
      </c>
      <c r="D21" s="8" t="s">
        <v>298</v>
      </c>
      <c r="E21" s="8" t="s">
        <v>298</v>
      </c>
      <c r="F21" s="8" t="s">
        <v>298</v>
      </c>
      <c r="G21" s="8" t="s">
        <v>298</v>
      </c>
      <c r="H21" s="8" t="s">
        <v>23</v>
      </c>
      <c r="I21" s="8" t="s">
        <v>17</v>
      </c>
      <c r="J21" s="8"/>
      <c r="K21" s="363"/>
      <c r="L21" s="363"/>
      <c r="M21" s="118"/>
      <c r="N21" s="8">
        <f t="shared" si="0"/>
        <v>17</v>
      </c>
      <c r="O21" s="8">
        <f>(IF(I21="HT",15,IF(I21="BTĐ",11.9,IF(I21="PHT",13,IF(I21="PBTĐ",5.95,IF(I21="giáo vụ",4,IF(OR(I21="TTCM",I21="CTCĐ",I21="LĐ",P21="Con nhỏ"),3,IF(OR(I21="TKHĐ",I21="TTrND"),2,0))))))+(IF(OR(J21="CĐ",J21="TVTL"),1,IF(J21="PBM",2,0)))))</f>
        <v>0</v>
      </c>
      <c r="P21" s="8"/>
    </row>
    <row r="22" spans="1:16" ht="12.75" x14ac:dyDescent="0.2">
      <c r="A22" s="12">
        <v>19</v>
      </c>
      <c r="B22" s="18" t="s">
        <v>63</v>
      </c>
      <c r="C22" s="19" t="s">
        <v>135</v>
      </c>
      <c r="D22" s="8" t="s">
        <v>298</v>
      </c>
      <c r="E22" s="8" t="s">
        <v>298</v>
      </c>
      <c r="F22" s="8" t="s">
        <v>298</v>
      </c>
      <c r="G22" s="8"/>
      <c r="H22" s="8" t="s">
        <v>23</v>
      </c>
      <c r="I22" s="8" t="s">
        <v>217</v>
      </c>
      <c r="J22" s="8"/>
      <c r="K22" s="363" t="s">
        <v>198</v>
      </c>
      <c r="L22" s="363"/>
      <c r="M22" s="118"/>
      <c r="N22" s="8">
        <f t="shared" si="0"/>
        <v>17</v>
      </c>
      <c r="O22" s="8">
        <v>1</v>
      </c>
      <c r="P22" s="8"/>
    </row>
    <row r="23" spans="1:16" ht="12.75" x14ac:dyDescent="0.2">
      <c r="A23" s="12">
        <v>20</v>
      </c>
      <c r="B23" s="21" t="s">
        <v>64</v>
      </c>
      <c r="C23" s="22" t="s">
        <v>136</v>
      </c>
      <c r="D23" s="20" t="s">
        <v>298</v>
      </c>
      <c r="E23" s="20" t="s">
        <v>298</v>
      </c>
      <c r="F23" s="20"/>
      <c r="G23" s="20"/>
      <c r="H23" s="20" t="s">
        <v>65</v>
      </c>
      <c r="I23" s="20" t="s">
        <v>16</v>
      </c>
      <c r="J23" s="20"/>
      <c r="K23" s="364"/>
      <c r="L23" s="364"/>
      <c r="M23" s="119"/>
      <c r="N23" s="20">
        <f t="shared" si="0"/>
        <v>4</v>
      </c>
      <c r="O23" s="8">
        <f>(IF(I23="HT",15,IF(I23="BTĐ",11.9,IF(I23="PHT",13,IF(I23="PBTĐ",5.95,IF(I23="giáo vụ",4,IF(OR(I23="TTCM",I23="CTCĐ",I23="LĐ",P23="Con nhỏ"),3,IF(OR(I23="TKHĐ",I23="TTrND"),2,0))))))+(IF(OR(J23="CĐ",J23="TVTL"),1,IF(J23="PBM",2,0)))))</f>
        <v>13</v>
      </c>
      <c r="P23" s="20"/>
    </row>
    <row r="24" spans="1:16" ht="12.75" x14ac:dyDescent="0.2">
      <c r="A24" s="12">
        <v>21</v>
      </c>
      <c r="B24" s="21" t="s">
        <v>66</v>
      </c>
      <c r="C24" s="22" t="s">
        <v>137</v>
      </c>
      <c r="D24" s="20"/>
      <c r="E24" s="20"/>
      <c r="F24" s="20"/>
      <c r="G24" s="20"/>
      <c r="H24" s="20" t="s">
        <v>65</v>
      </c>
      <c r="I24" s="20" t="s">
        <v>217</v>
      </c>
      <c r="J24" s="20" t="s">
        <v>217</v>
      </c>
      <c r="K24" s="364" t="s">
        <v>31</v>
      </c>
      <c r="L24" s="364" t="s">
        <v>18</v>
      </c>
      <c r="M24" s="119" t="s">
        <v>27</v>
      </c>
      <c r="N24" s="20">
        <f t="shared" si="0"/>
        <v>17</v>
      </c>
      <c r="O24" s="8">
        <v>1</v>
      </c>
      <c r="P24" s="20"/>
    </row>
    <row r="25" spans="1:16" ht="12.75" x14ac:dyDescent="0.2">
      <c r="A25" s="12">
        <v>22</v>
      </c>
      <c r="B25" s="21" t="s">
        <v>67</v>
      </c>
      <c r="C25" s="22" t="s">
        <v>139</v>
      </c>
      <c r="D25" s="20"/>
      <c r="E25" s="20"/>
      <c r="F25" s="20"/>
      <c r="G25" s="20"/>
      <c r="H25" s="20" t="s">
        <v>65</v>
      </c>
      <c r="I25" s="20" t="s">
        <v>17</v>
      </c>
      <c r="J25" s="20"/>
      <c r="K25" s="364" t="s">
        <v>121</v>
      </c>
      <c r="L25" s="364" t="s">
        <v>196</v>
      </c>
      <c r="M25" s="119" t="s">
        <v>138</v>
      </c>
      <c r="N25" s="20">
        <f t="shared" si="0"/>
        <v>17</v>
      </c>
      <c r="O25" s="8">
        <f>(IF(I25="HT",15,IF(I25="BTĐ",11.9,IF(I25="PHT",13,IF(I25="PBTĐ",5.95,IF(I25="giáo vụ",4,IF(OR(I25="TTCM",I25="CTCĐ",I25="LĐ",P25="Con nhỏ"),3,IF(OR(I25="TKHĐ",I25="TTrND"),2,0))))))+(IF(OR(J25="CĐ",J25="TVTL"),1,IF(J25="PBM",2,0)))))</f>
        <v>0</v>
      </c>
      <c r="P25" s="20"/>
    </row>
    <row r="26" spans="1:16" ht="12.75" x14ac:dyDescent="0.2">
      <c r="A26" s="12">
        <v>23</v>
      </c>
      <c r="B26" s="21" t="s">
        <v>68</v>
      </c>
      <c r="C26" s="23" t="s">
        <v>141</v>
      </c>
      <c r="D26" s="20"/>
      <c r="E26" s="20"/>
      <c r="F26" s="20"/>
      <c r="G26" s="20"/>
      <c r="H26" s="20" t="s">
        <v>65</v>
      </c>
      <c r="I26" s="24" t="s">
        <v>17</v>
      </c>
      <c r="J26" s="20" t="s">
        <v>366</v>
      </c>
      <c r="K26" s="364" t="s">
        <v>124</v>
      </c>
      <c r="L26" s="364" t="s">
        <v>20</v>
      </c>
      <c r="M26" s="119" t="s">
        <v>196</v>
      </c>
      <c r="N26" s="20">
        <f t="shared" si="0"/>
        <v>17</v>
      </c>
      <c r="O26" s="8">
        <f>(IF(I26="HT",15,IF(I26="BTĐ",11.9,IF(I26="PHT",13,IF(I26="PBTĐ",5.95,IF(I26="giáo vụ",4,IF(OR(I26="TTCM",I26="CTCĐ",I26="LĐ",P26="Con nhỏ"),3,IF(OR(I26="TKHĐ",I26="TTrND"),2,0))))))+(IF(OR(J26="CĐ",J26="TVTL"),1,IF(J26="PBM",2,0)))))</f>
        <v>1</v>
      </c>
      <c r="P26" s="20"/>
    </row>
    <row r="27" spans="1:16" ht="12.75" x14ac:dyDescent="0.2">
      <c r="A27" s="12">
        <v>24</v>
      </c>
      <c r="B27" s="21" t="s">
        <v>69</v>
      </c>
      <c r="C27" s="23" t="s">
        <v>143</v>
      </c>
      <c r="D27" s="20" t="s">
        <v>298</v>
      </c>
      <c r="E27" s="20"/>
      <c r="F27" s="20" t="s">
        <v>298</v>
      </c>
      <c r="G27" s="20" t="s">
        <v>298</v>
      </c>
      <c r="H27" s="20" t="s">
        <v>65</v>
      </c>
      <c r="I27" s="24" t="s">
        <v>17</v>
      </c>
      <c r="J27" s="20"/>
      <c r="K27" s="364" t="s">
        <v>116</v>
      </c>
      <c r="L27" s="364" t="s">
        <v>124</v>
      </c>
      <c r="M27" s="119" t="s">
        <v>173</v>
      </c>
      <c r="N27" s="20">
        <f t="shared" si="0"/>
        <v>17</v>
      </c>
      <c r="O27" s="8">
        <f>(IF(I27="HT",15,IF(I27="BTĐ",11.9,IF(I27="PHT",13,IF(I27="PBTĐ",5.95,IF(I27="giáo vụ",4,IF(OR(I27="TTCM",I27="CTCĐ",I27="LĐ",P27="Con nhỏ"),3,IF(OR(I27="TKHĐ",I27="TTrND"),2,0))))))+(IF(OR(J27="CĐ",J27="TVTL"),1,IF(J27="PBM",2,0)))))</f>
        <v>0</v>
      </c>
      <c r="P27" s="20"/>
    </row>
    <row r="28" spans="1:16" ht="12.75" x14ac:dyDescent="0.2">
      <c r="A28" s="12">
        <v>25</v>
      </c>
      <c r="B28" s="27" t="s">
        <v>70</v>
      </c>
      <c r="C28" s="28" t="s">
        <v>144</v>
      </c>
      <c r="D28" s="26" t="s">
        <v>298</v>
      </c>
      <c r="E28" s="26" t="s">
        <v>298</v>
      </c>
      <c r="F28" s="26"/>
      <c r="G28" s="26"/>
      <c r="H28" s="26" t="s">
        <v>71</v>
      </c>
      <c r="I28" s="26" t="s">
        <v>229</v>
      </c>
      <c r="J28" s="26"/>
      <c r="K28" s="365"/>
      <c r="L28" s="365"/>
      <c r="M28" s="120"/>
      <c r="N28" s="26">
        <f t="shared" si="0"/>
        <v>2</v>
      </c>
      <c r="O28" s="8">
        <f>(IF(I28="HT",15,IF(I28="BTĐ",11.9,IF(I28="PHT",13,IF(I28="PBTĐ",5.95,IF(I28="giáo vụ",4,IF(OR(I28="TTCM",I28="CTCĐ",I28="LĐ",P28="Con nhỏ"),3,IF(OR(I28="TKHĐ",I28="TTrND"),2,0))))))+(IF(OR(J28="CĐ",J28="TVTL"),1,IF(J28="PBM",2,0)))))</f>
        <v>15</v>
      </c>
      <c r="P28" s="26"/>
    </row>
    <row r="29" spans="1:16" ht="12.75" x14ac:dyDescent="0.2">
      <c r="A29" s="12">
        <v>26</v>
      </c>
      <c r="B29" s="27" t="s">
        <v>72</v>
      </c>
      <c r="C29" s="28" t="s">
        <v>146</v>
      </c>
      <c r="D29" s="26" t="s">
        <v>298</v>
      </c>
      <c r="E29" s="26" t="s">
        <v>298</v>
      </c>
      <c r="F29" s="26"/>
      <c r="G29" s="26"/>
      <c r="H29" s="26" t="s">
        <v>71</v>
      </c>
      <c r="I29" s="26" t="s">
        <v>15</v>
      </c>
      <c r="J29" s="26" t="s">
        <v>367</v>
      </c>
      <c r="K29" s="365"/>
      <c r="L29" s="365"/>
      <c r="M29" s="120"/>
      <c r="N29" s="26">
        <f t="shared" si="0"/>
        <v>17</v>
      </c>
      <c r="O29" s="8">
        <f>(IF(I29="HT",15,IF(I29="BTĐ",11.9,IF(I29="PHT",13,IF(I29="PBTĐ",5.95,IF(I29="giáo vụ",4,IF(OR(I29="TTCM",I29="CTCĐ",I29="LĐ",P29="Con nhỏ"),3,IF(OR(I29="TKHĐ",I29="TTrND"),2,0))))))+(IF(OR(J29="CĐ",J29="TVTL"),1,IF(J29="PBM",2,0)))))+1</f>
        <v>4</v>
      </c>
      <c r="P29" s="26"/>
    </row>
    <row r="30" spans="1:16" ht="12.75" x14ac:dyDescent="0.2">
      <c r="A30" s="12">
        <v>27</v>
      </c>
      <c r="B30" s="27" t="s">
        <v>73</v>
      </c>
      <c r="C30" s="28" t="s">
        <v>145</v>
      </c>
      <c r="D30" s="26" t="s">
        <v>298</v>
      </c>
      <c r="E30" s="26" t="s">
        <v>298</v>
      </c>
      <c r="F30" s="26" t="s">
        <v>298</v>
      </c>
      <c r="G30" s="26"/>
      <c r="H30" s="26" t="s">
        <v>71</v>
      </c>
      <c r="I30" s="26" t="s">
        <v>17</v>
      </c>
      <c r="J30" s="26"/>
      <c r="K30" s="365" t="s">
        <v>142</v>
      </c>
      <c r="L30" s="365" t="s">
        <v>142</v>
      </c>
      <c r="M30" s="120" t="s">
        <v>202</v>
      </c>
      <c r="N30" s="26">
        <f t="shared" si="0"/>
        <v>17</v>
      </c>
      <c r="O30" s="8">
        <f>(IF(I30="HT",15,IF(I30="BTĐ",11.9,IF(I30="PHT",13,IF(I30="PBTĐ",5.95,IF(I30="giáo vụ",4,IF(OR(I30="TTCM",I30="CTCĐ",I30="LĐ",P30="Con nhỏ"),3,IF(OR(I30="TKHĐ",I30="TTrND"),2,0))))))+(IF(OR(J30="CĐ",J30="TVTL"),1,IF(J30="PBM",2,0)))))</f>
        <v>0</v>
      </c>
      <c r="P30" s="26"/>
    </row>
    <row r="31" spans="1:16" ht="12.75" x14ac:dyDescent="0.2">
      <c r="A31" s="12">
        <v>28</v>
      </c>
      <c r="B31" s="27" t="s">
        <v>74</v>
      </c>
      <c r="C31" s="28" t="s">
        <v>147</v>
      </c>
      <c r="D31" s="26" t="s">
        <v>298</v>
      </c>
      <c r="E31" s="26"/>
      <c r="F31" s="26" t="s">
        <v>298</v>
      </c>
      <c r="G31" s="26"/>
      <c r="H31" s="26" t="s">
        <v>71</v>
      </c>
      <c r="I31" s="26" t="s">
        <v>17</v>
      </c>
      <c r="J31" s="26"/>
      <c r="K31" s="365" t="s">
        <v>148</v>
      </c>
      <c r="L31" s="365" t="s">
        <v>197</v>
      </c>
      <c r="M31" s="120" t="s">
        <v>20</v>
      </c>
      <c r="N31" s="26">
        <f t="shared" si="0"/>
        <v>17</v>
      </c>
      <c r="O31" s="8">
        <f>(IF(I31="HT",15,IF(I31="BTĐ",11.9,IF(I31="PHT",13,IF(I31="PBTĐ",5.95,IF(I31="giáo vụ",4,IF(OR(I31="TTCM",I31="CTCĐ",I31="LĐ",P31="Con nhỏ"),3,IF(OR(I31="TKHĐ",I31="TTrND"),2,0))))))+(IF(OR(J31="CĐ",J31="TVTL"),1,IF(J31="PBM",2,0)))))</f>
        <v>0</v>
      </c>
      <c r="P31" s="26"/>
    </row>
    <row r="32" spans="1:16" ht="12.75" x14ac:dyDescent="0.2">
      <c r="A32" s="12">
        <v>29</v>
      </c>
      <c r="B32" s="30" t="s">
        <v>75</v>
      </c>
      <c r="C32" s="31" t="s">
        <v>149</v>
      </c>
      <c r="D32" s="29" t="s">
        <v>298</v>
      </c>
      <c r="E32" s="29" t="s">
        <v>298</v>
      </c>
      <c r="F32" s="29" t="s">
        <v>298</v>
      </c>
      <c r="G32" s="29"/>
      <c r="H32" s="29" t="s">
        <v>29</v>
      </c>
      <c r="I32" s="29" t="s">
        <v>16</v>
      </c>
      <c r="J32" s="29"/>
      <c r="K32" s="366"/>
      <c r="L32" s="366"/>
      <c r="M32" s="121"/>
      <c r="N32" s="29">
        <f t="shared" si="0"/>
        <v>4</v>
      </c>
      <c r="O32" s="8">
        <f>(IF(I32="HT",15,IF(I32="BTĐ",11.9,IF(I32="PHT",13,IF(I32="PBTĐ",5.95,IF(I32="giáo vụ",4,IF(OR(I32="TTCM",I32="CTCĐ",I32="LĐ",P32="Con nhỏ"),3,IF(OR(I32="TKHĐ",I32="TTrND"),2,0))))))+(IF(OR(J32="CĐ",J32="TVTL"),1,IF(J32="PBM",2,0)))))</f>
        <v>13</v>
      </c>
      <c r="P32" s="29"/>
    </row>
    <row r="33" spans="1:16" ht="12.75" x14ac:dyDescent="0.2">
      <c r="A33" s="12">
        <v>30</v>
      </c>
      <c r="B33" s="30" t="s">
        <v>76</v>
      </c>
      <c r="C33" s="31" t="s">
        <v>150</v>
      </c>
      <c r="D33" s="29"/>
      <c r="E33" s="29" t="s">
        <v>298</v>
      </c>
      <c r="F33" s="29" t="s">
        <v>298</v>
      </c>
      <c r="G33" s="29"/>
      <c r="H33" s="29" t="s">
        <v>29</v>
      </c>
      <c r="I33" s="29" t="s">
        <v>15</v>
      </c>
      <c r="J33" s="29"/>
      <c r="K33" s="366"/>
      <c r="L33" s="366"/>
      <c r="M33" s="121"/>
      <c r="N33" s="29">
        <f t="shared" si="0"/>
        <v>17</v>
      </c>
      <c r="O33" s="8">
        <f>(IF(I33="HT",15,IF(I33="BTĐ",11.9,IF(I33="PHT",13,IF(I33="PBTĐ",5.95,IF(I33="giáo vụ",4,IF(OR(I33="TTCM",I33="CTCĐ",I33="LĐ",P33="Con nhỏ"),3,IF(OR(I33="TKHĐ",I33="TTrND"),2,0))))))+(IF(OR(J33="CĐ",J33="TVTL"),1,IF(J33="PBM",2,0)))))</f>
        <v>3</v>
      </c>
      <c r="P33" s="29"/>
    </row>
    <row r="34" spans="1:16" ht="12.75" x14ac:dyDescent="0.2">
      <c r="A34" s="12">
        <v>31</v>
      </c>
      <c r="B34" s="30" t="s">
        <v>77</v>
      </c>
      <c r="C34" s="31" t="s">
        <v>151</v>
      </c>
      <c r="D34" s="29" t="s">
        <v>298</v>
      </c>
      <c r="E34" s="29"/>
      <c r="F34" s="29" t="s">
        <v>298</v>
      </c>
      <c r="G34" s="29"/>
      <c r="H34" s="29" t="s">
        <v>29</v>
      </c>
      <c r="I34" s="29" t="s">
        <v>217</v>
      </c>
      <c r="J34" s="29"/>
      <c r="K34" s="366"/>
      <c r="L34" s="366"/>
      <c r="M34" s="121"/>
      <c r="N34" s="29">
        <f t="shared" si="0"/>
        <v>17</v>
      </c>
      <c r="O34" s="8">
        <v>1</v>
      </c>
      <c r="P34" s="29"/>
    </row>
    <row r="35" spans="1:16" ht="12.75" x14ac:dyDescent="0.2">
      <c r="A35" s="12">
        <v>32</v>
      </c>
      <c r="B35" s="30" t="s">
        <v>80</v>
      </c>
      <c r="C35" s="31" t="s">
        <v>152</v>
      </c>
      <c r="D35" s="29" t="s">
        <v>298</v>
      </c>
      <c r="E35" s="29"/>
      <c r="F35" s="29" t="s">
        <v>298</v>
      </c>
      <c r="G35" s="29"/>
      <c r="H35" s="29" t="s">
        <v>29</v>
      </c>
      <c r="I35" s="29" t="s">
        <v>17</v>
      </c>
      <c r="J35" s="29"/>
      <c r="K35" s="366"/>
      <c r="L35" s="366" t="s">
        <v>215</v>
      </c>
      <c r="M35" s="121"/>
      <c r="N35" s="29">
        <f t="shared" si="0"/>
        <v>17</v>
      </c>
      <c r="O35" s="8">
        <f>(IF(I35="HT",15,IF(I35="BTĐ",11.9,IF(I35="PHT",13,IF(I35="PBTĐ",5.95,IF(I35="giáo vụ",4,IF(OR(I35="TTCM",I35="CTCĐ",I35="LĐ",P35="Con nhỏ"),3,IF(OR(I35="TKHĐ",I35="TTrND"),2,0))))))+(IF(OR(J35="CĐ",J35="TVTL"),1,IF(J35="PBM",2,0)))))</f>
        <v>0</v>
      </c>
      <c r="P35" s="29"/>
    </row>
    <row r="36" spans="1:16" ht="12.75" x14ac:dyDescent="0.2">
      <c r="A36" s="12">
        <v>33</v>
      </c>
      <c r="B36" s="30" t="s">
        <v>189</v>
      </c>
      <c r="C36" s="31" t="s">
        <v>205</v>
      </c>
      <c r="D36" s="29" t="s">
        <v>298</v>
      </c>
      <c r="E36" s="29" t="s">
        <v>298</v>
      </c>
      <c r="F36" s="29" t="s">
        <v>298</v>
      </c>
      <c r="G36" s="29"/>
      <c r="H36" s="29" t="s">
        <v>29</v>
      </c>
      <c r="I36" s="29" t="s">
        <v>216</v>
      </c>
      <c r="J36" s="29" t="s">
        <v>366</v>
      </c>
      <c r="K36" s="366"/>
      <c r="L36" s="366"/>
      <c r="M36" s="121"/>
      <c r="N36" s="29">
        <f t="shared" ref="N36:N59" si="2">17-(IF(I36="HT",15,IF(I36="PHT",13,0))+IF(I36="GVTS",2,0))</f>
        <v>17</v>
      </c>
      <c r="O36" s="8">
        <v>15</v>
      </c>
      <c r="P36" s="29"/>
    </row>
    <row r="37" spans="1:16" ht="12.75" x14ac:dyDescent="0.2">
      <c r="A37" s="12">
        <v>34</v>
      </c>
      <c r="B37" s="259" t="s">
        <v>78</v>
      </c>
      <c r="C37" s="260" t="s">
        <v>452</v>
      </c>
      <c r="D37" s="29"/>
      <c r="E37" s="29"/>
      <c r="F37" s="29" t="s">
        <v>298</v>
      </c>
      <c r="G37" s="29"/>
      <c r="H37" s="29" t="s">
        <v>29</v>
      </c>
      <c r="I37" s="256" t="s">
        <v>454</v>
      </c>
      <c r="J37" s="29"/>
      <c r="K37" s="366"/>
      <c r="L37" s="366"/>
      <c r="M37" s="121" t="s">
        <v>142</v>
      </c>
      <c r="N37" s="29">
        <f t="shared" si="2"/>
        <v>17</v>
      </c>
      <c r="O37" s="8">
        <f t="shared" ref="O37:O42" si="3">(IF(I37="HT",15,IF(I37="BTĐ",11.9,IF(I37="PHT",13,IF(I37="PBTĐ",5.95,IF(I37="giáo vụ",4,IF(OR(I37="TTCM",I37="CTCĐ",I37="LĐ",P37="Con nhỏ"),3,IF(OR(I37="TKHĐ",I37="TTrND"),2,0))))))+(IF(OR(J37="CĐ",J37="TVTL"),1,IF(J37="PBM",2,0)))))</f>
        <v>0</v>
      </c>
      <c r="P37" s="29"/>
    </row>
    <row r="38" spans="1:16" ht="12.75" x14ac:dyDescent="0.2">
      <c r="A38" s="12">
        <v>35</v>
      </c>
      <c r="B38" s="259" t="s">
        <v>79</v>
      </c>
      <c r="C38" s="260" t="s">
        <v>453</v>
      </c>
      <c r="D38" s="29"/>
      <c r="E38" s="29"/>
      <c r="F38" s="29"/>
      <c r="G38" s="29" t="s">
        <v>298</v>
      </c>
      <c r="H38" s="29" t="s">
        <v>29</v>
      </c>
      <c r="I38" s="256" t="s">
        <v>454</v>
      </c>
      <c r="J38" s="29"/>
      <c r="K38" s="366"/>
      <c r="L38" s="366"/>
      <c r="M38" s="121" t="s">
        <v>18</v>
      </c>
      <c r="N38" s="29">
        <f t="shared" si="2"/>
        <v>17</v>
      </c>
      <c r="O38" s="8">
        <f t="shared" si="3"/>
        <v>0</v>
      </c>
      <c r="P38" s="29"/>
    </row>
    <row r="39" spans="1:16" ht="12.75" x14ac:dyDescent="0.2">
      <c r="A39" s="12">
        <v>36</v>
      </c>
      <c r="B39" s="259" t="s">
        <v>81</v>
      </c>
      <c r="C39" s="260" t="s">
        <v>496</v>
      </c>
      <c r="D39" s="29"/>
      <c r="E39" s="29"/>
      <c r="F39" s="29"/>
      <c r="G39" s="29" t="s">
        <v>298</v>
      </c>
      <c r="H39" s="29" t="s">
        <v>29</v>
      </c>
      <c r="I39" s="256" t="s">
        <v>454</v>
      </c>
      <c r="J39" s="29"/>
      <c r="K39" s="366"/>
      <c r="L39" s="366"/>
      <c r="M39" s="121" t="s">
        <v>31</v>
      </c>
      <c r="N39" s="29">
        <f t="shared" si="2"/>
        <v>17</v>
      </c>
      <c r="O39" s="8">
        <f t="shared" si="3"/>
        <v>0</v>
      </c>
      <c r="P39" s="29"/>
    </row>
    <row r="40" spans="1:16" ht="12.75" x14ac:dyDescent="0.2">
      <c r="A40" s="12">
        <v>37</v>
      </c>
      <c r="B40" s="13" t="s">
        <v>83</v>
      </c>
      <c r="C40" s="14" t="s">
        <v>153</v>
      </c>
      <c r="D40" s="12" t="s">
        <v>298</v>
      </c>
      <c r="E40" s="12" t="s">
        <v>298</v>
      </c>
      <c r="F40" s="12" t="s">
        <v>298</v>
      </c>
      <c r="G40" s="12"/>
      <c r="H40" s="12" t="s">
        <v>187</v>
      </c>
      <c r="I40" s="12" t="s">
        <v>15</v>
      </c>
      <c r="J40" s="12"/>
      <c r="K40" s="362"/>
      <c r="L40" s="362"/>
      <c r="M40" s="117"/>
      <c r="N40" s="12">
        <f t="shared" si="2"/>
        <v>17</v>
      </c>
      <c r="O40" s="8">
        <f t="shared" si="3"/>
        <v>3</v>
      </c>
      <c r="P40" s="12"/>
    </row>
    <row r="41" spans="1:16" ht="12.75" x14ac:dyDescent="0.2">
      <c r="A41" s="12">
        <v>38</v>
      </c>
      <c r="B41" s="13" t="s">
        <v>85</v>
      </c>
      <c r="C41" s="14" t="s">
        <v>228</v>
      </c>
      <c r="D41" s="12"/>
      <c r="E41" s="12"/>
      <c r="F41" s="12"/>
      <c r="G41" s="12"/>
      <c r="H41" s="12" t="s">
        <v>187</v>
      </c>
      <c r="I41" s="12" t="s">
        <v>17</v>
      </c>
      <c r="J41" s="12"/>
      <c r="K41" s="362"/>
      <c r="L41" s="362" t="s">
        <v>214</v>
      </c>
      <c r="M41" s="117" t="s">
        <v>478</v>
      </c>
      <c r="N41" s="12">
        <f t="shared" si="2"/>
        <v>17</v>
      </c>
      <c r="O41" s="8">
        <f t="shared" si="3"/>
        <v>0</v>
      </c>
      <c r="P41" s="12"/>
    </row>
    <row r="42" spans="1:16" ht="12.75" x14ac:dyDescent="0.2">
      <c r="A42" s="12">
        <v>39</v>
      </c>
      <c r="B42" s="13" t="s">
        <v>86</v>
      </c>
      <c r="C42" s="14" t="s">
        <v>154</v>
      </c>
      <c r="D42" s="12"/>
      <c r="E42" s="12"/>
      <c r="F42" s="12" t="s">
        <v>298</v>
      </c>
      <c r="G42" s="12"/>
      <c r="H42" s="12" t="s">
        <v>187</v>
      </c>
      <c r="I42" s="12" t="s">
        <v>17</v>
      </c>
      <c r="J42" s="12"/>
      <c r="K42" s="362"/>
      <c r="L42" s="362" t="s">
        <v>305</v>
      </c>
      <c r="M42" s="117"/>
      <c r="N42" s="12">
        <f t="shared" si="2"/>
        <v>17</v>
      </c>
      <c r="O42" s="8">
        <f t="shared" si="3"/>
        <v>0</v>
      </c>
      <c r="P42" s="12"/>
    </row>
    <row r="43" spans="1:16" ht="12.75" x14ac:dyDescent="0.2">
      <c r="A43" s="12">
        <v>40</v>
      </c>
      <c r="B43" s="368" t="s">
        <v>504</v>
      </c>
      <c r="C43" s="369" t="s">
        <v>511</v>
      </c>
      <c r="D43" s="12"/>
      <c r="E43" s="12"/>
      <c r="F43" s="12" t="s">
        <v>298</v>
      </c>
      <c r="G43" s="12"/>
      <c r="H43" s="12" t="s">
        <v>187</v>
      </c>
      <c r="I43" s="367" t="s">
        <v>454</v>
      </c>
      <c r="J43" s="12"/>
      <c r="K43" s="362"/>
      <c r="L43" s="362"/>
      <c r="M43" s="117" t="s">
        <v>116</v>
      </c>
      <c r="N43" s="12">
        <f>17-(IF(I43="HT",15,IF(I43="PHT",13,0))+IF(I43="GVTS",2,0))</f>
        <v>17</v>
      </c>
      <c r="O43" s="8">
        <f>(IF(I43="HT",15,IF(I43="BTĐ",11.9,IF(I43="PHT",13,IF(I43="PBTĐ",5.95,IF(I43="giáo vụ",4,IF(OR(I43="TTCM",I43="CTCĐ",I43="LĐ",P43="Con nhỏ"),3,IF(OR(I43="TKHĐ",I43="TTrND"),2,0))))))+(IF(OR(J43="CĐ",J43="TVTL"),1,IF(J43="PBM",2,0)))))</f>
        <v>0</v>
      </c>
      <c r="P43" s="12"/>
    </row>
    <row r="44" spans="1:16" ht="12.75" x14ac:dyDescent="0.2">
      <c r="A44" s="12">
        <v>41</v>
      </c>
      <c r="B44" s="13" t="s">
        <v>88</v>
      </c>
      <c r="C44" s="14" t="s">
        <v>206</v>
      </c>
      <c r="D44" s="12" t="s">
        <v>298</v>
      </c>
      <c r="E44" s="12"/>
      <c r="F44" s="12" t="s">
        <v>298</v>
      </c>
      <c r="G44" s="12"/>
      <c r="H44" s="12" t="s">
        <v>321</v>
      </c>
      <c r="I44" s="12" t="s">
        <v>17</v>
      </c>
      <c r="J44" s="12" t="s">
        <v>366</v>
      </c>
      <c r="K44" s="362"/>
      <c r="L44" s="362"/>
      <c r="M44" s="117"/>
      <c r="N44" s="12">
        <f>17-(IF(I44="HT",15,IF(I44="PHT",13,0))+IF(I44="GVTS",2,0))</f>
        <v>17</v>
      </c>
      <c r="O44" s="8">
        <f>(IF(I44="HT",15,IF(I44="BTĐ",11.9,IF(I44="PHT",13,IF(I44="PBTĐ",5.95,IF(I44="giáo vụ",4,IF(OR(I44="TTCM",I44="CTCĐ",I44="LĐ",P44="Con nhỏ"),3,IF(OR(I44="TKHĐ",I44="TTrND"),2,0))))))+(IF(OR(J44="CĐ",J44="TVTL"),1,IF(J44="PBM",2,0)))))</f>
        <v>1</v>
      </c>
      <c r="P44" s="12"/>
    </row>
    <row r="45" spans="1:16" ht="12.75" x14ac:dyDescent="0.2">
      <c r="A45" s="12">
        <v>42</v>
      </c>
      <c r="B45" s="13" t="s">
        <v>426</v>
      </c>
      <c r="C45" s="14" t="s">
        <v>416</v>
      </c>
      <c r="D45" s="12" t="s">
        <v>298</v>
      </c>
      <c r="E45" s="12"/>
      <c r="F45" s="12"/>
      <c r="G45" s="12"/>
      <c r="H45" s="12" t="s">
        <v>321</v>
      </c>
      <c r="I45" s="12" t="s">
        <v>17</v>
      </c>
      <c r="J45" s="12" t="s">
        <v>216</v>
      </c>
      <c r="K45" s="362"/>
      <c r="L45" s="362"/>
      <c r="M45" s="117"/>
      <c r="N45" s="12">
        <f t="shared" si="2"/>
        <v>17</v>
      </c>
      <c r="O45" s="8">
        <v>7.5</v>
      </c>
      <c r="P45" s="12"/>
    </row>
    <row r="46" spans="1:16" ht="12.75" x14ac:dyDescent="0.2">
      <c r="A46" s="12">
        <v>43</v>
      </c>
      <c r="B46" s="18" t="s">
        <v>90</v>
      </c>
      <c r="C46" s="19" t="s">
        <v>155</v>
      </c>
      <c r="D46" s="8"/>
      <c r="E46" s="8"/>
      <c r="F46" s="8"/>
      <c r="G46" s="8"/>
      <c r="H46" s="8" t="s">
        <v>234</v>
      </c>
      <c r="I46" s="8" t="s">
        <v>15</v>
      </c>
      <c r="J46" s="8" t="s">
        <v>366</v>
      </c>
      <c r="K46" s="363" t="s">
        <v>201</v>
      </c>
      <c r="L46" s="363" t="s">
        <v>173</v>
      </c>
      <c r="M46" s="118" t="s">
        <v>215</v>
      </c>
      <c r="N46" s="8">
        <f t="shared" si="2"/>
        <v>17</v>
      </c>
      <c r="O46" s="8">
        <v>3</v>
      </c>
      <c r="P46" s="8"/>
    </row>
    <row r="47" spans="1:16" ht="12.75" x14ac:dyDescent="0.2">
      <c r="A47" s="12">
        <v>44</v>
      </c>
      <c r="B47" s="18" t="s">
        <v>91</v>
      </c>
      <c r="C47" s="19" t="s">
        <v>156</v>
      </c>
      <c r="D47" s="8" t="s">
        <v>298</v>
      </c>
      <c r="E47" s="8"/>
      <c r="F47" s="8" t="s">
        <v>298</v>
      </c>
      <c r="G47" s="8"/>
      <c r="H47" s="8" t="s">
        <v>234</v>
      </c>
      <c r="I47" s="8" t="s">
        <v>17</v>
      </c>
      <c r="J47" s="8"/>
      <c r="K47" s="363"/>
      <c r="L47" s="363" t="s">
        <v>213</v>
      </c>
      <c r="M47" s="118" t="s">
        <v>213</v>
      </c>
      <c r="N47" s="8">
        <f t="shared" si="2"/>
        <v>17</v>
      </c>
      <c r="O47" s="8">
        <f t="shared" ref="O47:O55" si="4">(IF(I47="HT",15,IF(I47="BTĐ",11.9,IF(I47="PHT",13,IF(I47="PBTĐ",5.95,IF(I47="giáo vụ",4,IF(OR(I47="TTCM",I47="CTCĐ",I47="LĐ",P47="Con nhỏ"),3,IF(OR(I47="TKHĐ",I47="TTrND"),2,0))))))+(IF(OR(J47="CĐ",J47="TVTL"),1,IF(J47="PBM",2,0)))))</f>
        <v>0</v>
      </c>
      <c r="P47" s="8"/>
    </row>
    <row r="48" spans="1:16" ht="12.75" x14ac:dyDescent="0.2">
      <c r="A48" s="12">
        <v>45</v>
      </c>
      <c r="B48" s="18" t="s">
        <v>92</v>
      </c>
      <c r="C48" s="19" t="s">
        <v>157</v>
      </c>
      <c r="D48" s="8"/>
      <c r="E48" s="8"/>
      <c r="F48" s="8" t="s">
        <v>298</v>
      </c>
      <c r="G48" s="8"/>
      <c r="H48" s="8" t="s">
        <v>234</v>
      </c>
      <c r="I48" s="8" t="s">
        <v>17</v>
      </c>
      <c r="J48" s="8"/>
      <c r="K48" s="363" t="s">
        <v>140</v>
      </c>
      <c r="L48" s="363"/>
      <c r="M48" s="118"/>
      <c r="N48" s="8">
        <f t="shared" si="2"/>
        <v>17</v>
      </c>
      <c r="O48" s="8">
        <f t="shared" si="4"/>
        <v>0</v>
      </c>
      <c r="P48" s="8"/>
    </row>
    <row r="49" spans="1:16" ht="12.75" x14ac:dyDescent="0.2">
      <c r="A49" s="12">
        <v>46</v>
      </c>
      <c r="B49" s="18" t="s">
        <v>220</v>
      </c>
      <c r="C49" s="19" t="s">
        <v>476</v>
      </c>
      <c r="D49" s="8"/>
      <c r="E49" s="8"/>
      <c r="F49" s="8" t="s">
        <v>298</v>
      </c>
      <c r="G49" s="8"/>
      <c r="H49" s="8" t="s">
        <v>234</v>
      </c>
      <c r="I49" s="8" t="s">
        <v>17</v>
      </c>
      <c r="J49" s="8"/>
      <c r="K49" s="363" t="s">
        <v>213</v>
      </c>
      <c r="L49" s="363" t="s">
        <v>31</v>
      </c>
      <c r="M49" s="118" t="s">
        <v>24</v>
      </c>
      <c r="N49" s="8">
        <f t="shared" si="2"/>
        <v>17</v>
      </c>
      <c r="O49" s="8">
        <f t="shared" si="4"/>
        <v>0</v>
      </c>
      <c r="P49" s="8"/>
    </row>
    <row r="50" spans="1:16" ht="12.75" x14ac:dyDescent="0.2">
      <c r="A50" s="12">
        <v>47</v>
      </c>
      <c r="B50" s="27" t="s">
        <v>93</v>
      </c>
      <c r="C50" s="28" t="s">
        <v>158</v>
      </c>
      <c r="D50" s="26"/>
      <c r="E50" s="26"/>
      <c r="F50" s="26"/>
      <c r="G50" s="26"/>
      <c r="H50" s="26" t="s">
        <v>33</v>
      </c>
      <c r="I50" s="26" t="s">
        <v>15</v>
      </c>
      <c r="J50" s="26"/>
      <c r="K50" s="365"/>
      <c r="L50" s="365"/>
      <c r="M50" s="120"/>
      <c r="N50" s="26">
        <f t="shared" si="2"/>
        <v>17</v>
      </c>
      <c r="O50" s="8">
        <f t="shared" si="4"/>
        <v>3</v>
      </c>
      <c r="P50" s="26"/>
    </row>
    <row r="51" spans="1:16" ht="12.75" x14ac:dyDescent="0.2">
      <c r="A51" s="12">
        <v>48</v>
      </c>
      <c r="B51" s="27" t="s">
        <v>190</v>
      </c>
      <c r="C51" s="28" t="s">
        <v>163</v>
      </c>
      <c r="D51" s="26"/>
      <c r="E51" s="26"/>
      <c r="F51" s="26" t="s">
        <v>298</v>
      </c>
      <c r="G51" s="26"/>
      <c r="H51" s="26" t="s">
        <v>33</v>
      </c>
      <c r="I51" s="26" t="s">
        <v>17</v>
      </c>
      <c r="J51" s="26"/>
      <c r="K51" s="365" t="s">
        <v>219</v>
      </c>
      <c r="L51" s="365" t="s">
        <v>116</v>
      </c>
      <c r="M51" s="120" t="s">
        <v>201</v>
      </c>
      <c r="N51" s="26">
        <f t="shared" si="2"/>
        <v>17</v>
      </c>
      <c r="O51" s="8">
        <f t="shared" si="4"/>
        <v>0</v>
      </c>
      <c r="P51" s="26"/>
    </row>
    <row r="52" spans="1:16" ht="12.75" x14ac:dyDescent="0.2">
      <c r="A52" s="12">
        <v>49</v>
      </c>
      <c r="B52" s="27" t="s">
        <v>94</v>
      </c>
      <c r="C52" s="28" t="s">
        <v>159</v>
      </c>
      <c r="D52" s="26" t="s">
        <v>298</v>
      </c>
      <c r="E52" s="26"/>
      <c r="F52" s="26" t="s">
        <v>298</v>
      </c>
      <c r="G52" s="26"/>
      <c r="H52" s="26" t="s">
        <v>33</v>
      </c>
      <c r="I52" s="26" t="s">
        <v>17</v>
      </c>
      <c r="J52" s="26"/>
      <c r="K52" s="365"/>
      <c r="L52" s="365"/>
      <c r="M52" s="120"/>
      <c r="N52" s="26">
        <f t="shared" si="2"/>
        <v>17</v>
      </c>
      <c r="O52" s="8">
        <f t="shared" si="4"/>
        <v>0</v>
      </c>
      <c r="P52" s="26"/>
    </row>
    <row r="53" spans="1:16" ht="12.75" x14ac:dyDescent="0.2">
      <c r="A53" s="12">
        <v>50</v>
      </c>
      <c r="B53" s="27" t="s">
        <v>95</v>
      </c>
      <c r="C53" s="28" t="s">
        <v>160</v>
      </c>
      <c r="D53" s="26" t="s">
        <v>298</v>
      </c>
      <c r="E53" s="26"/>
      <c r="F53" s="26"/>
      <c r="G53" s="26" t="s">
        <v>298</v>
      </c>
      <c r="H53" s="26" t="s">
        <v>33</v>
      </c>
      <c r="I53" s="26" t="s">
        <v>17</v>
      </c>
      <c r="J53" s="26"/>
      <c r="K53" s="365"/>
      <c r="L53" s="365" t="s">
        <v>138</v>
      </c>
      <c r="M53" s="120" t="s">
        <v>21</v>
      </c>
      <c r="N53" s="26">
        <f t="shared" si="2"/>
        <v>17</v>
      </c>
      <c r="O53" s="8">
        <f t="shared" si="4"/>
        <v>0</v>
      </c>
      <c r="P53" s="26"/>
    </row>
    <row r="54" spans="1:16" ht="12.75" x14ac:dyDescent="0.2">
      <c r="A54" s="12">
        <v>51</v>
      </c>
      <c r="B54" s="27" t="s">
        <v>96</v>
      </c>
      <c r="C54" s="28" t="s">
        <v>161</v>
      </c>
      <c r="D54" s="26" t="s">
        <v>298</v>
      </c>
      <c r="E54" s="26"/>
      <c r="F54" s="26" t="s">
        <v>298</v>
      </c>
      <c r="G54" s="26"/>
      <c r="H54" s="26" t="s">
        <v>33</v>
      </c>
      <c r="I54" s="26" t="s">
        <v>17</v>
      </c>
      <c r="J54" s="26"/>
      <c r="K54" s="365" t="s">
        <v>214</v>
      </c>
      <c r="L54" s="365"/>
      <c r="M54" s="120"/>
      <c r="N54" s="26">
        <f t="shared" si="2"/>
        <v>17</v>
      </c>
      <c r="O54" s="8">
        <f t="shared" si="4"/>
        <v>0</v>
      </c>
      <c r="P54" s="26"/>
    </row>
    <row r="55" spans="1:16" ht="12.75" x14ac:dyDescent="0.2">
      <c r="A55" s="12">
        <v>52</v>
      </c>
      <c r="B55" s="27" t="s">
        <v>97</v>
      </c>
      <c r="C55" s="28" t="s">
        <v>162</v>
      </c>
      <c r="D55" s="26" t="s">
        <v>298</v>
      </c>
      <c r="E55" s="26"/>
      <c r="F55" s="26" t="s">
        <v>298</v>
      </c>
      <c r="G55" s="26"/>
      <c r="H55" s="26" t="s">
        <v>33</v>
      </c>
      <c r="I55" s="26" t="s">
        <v>17</v>
      </c>
      <c r="J55" s="26"/>
      <c r="K55" s="365" t="s">
        <v>27</v>
      </c>
      <c r="L55" s="365" t="s">
        <v>200</v>
      </c>
      <c r="M55" s="120" t="s">
        <v>305</v>
      </c>
      <c r="N55" s="26">
        <f t="shared" si="2"/>
        <v>17</v>
      </c>
      <c r="O55" s="8">
        <f t="shared" si="4"/>
        <v>0</v>
      </c>
      <c r="P55" s="26"/>
    </row>
    <row r="56" spans="1:16" ht="11.45" customHeight="1" x14ac:dyDescent="0.2">
      <c r="A56" s="12">
        <v>53</v>
      </c>
      <c r="B56" s="25" t="s">
        <v>100</v>
      </c>
      <c r="C56" s="23" t="s">
        <v>195</v>
      </c>
      <c r="D56" s="24" t="s">
        <v>298</v>
      </c>
      <c r="E56" s="24"/>
      <c r="F56" s="24"/>
      <c r="G56" s="24"/>
      <c r="H56" s="24" t="s">
        <v>165</v>
      </c>
      <c r="I56" s="24" t="s">
        <v>216</v>
      </c>
      <c r="J56" s="20" t="s">
        <v>235</v>
      </c>
      <c r="K56" s="203"/>
      <c r="L56" s="25"/>
      <c r="M56" s="43"/>
      <c r="N56" s="24">
        <f t="shared" si="2"/>
        <v>17</v>
      </c>
      <c r="O56" s="8">
        <v>8.5</v>
      </c>
      <c r="P56" s="24"/>
    </row>
    <row r="57" spans="1:16" x14ac:dyDescent="0.2">
      <c r="A57" s="12">
        <v>54</v>
      </c>
      <c r="B57" s="25" t="s">
        <v>101</v>
      </c>
      <c r="C57" s="23" t="s">
        <v>164</v>
      </c>
      <c r="D57" s="24" t="s">
        <v>298</v>
      </c>
      <c r="E57" s="24"/>
      <c r="F57" s="24"/>
      <c r="G57" s="24"/>
      <c r="H57" s="24" t="s">
        <v>165</v>
      </c>
      <c r="I57" s="24" t="s">
        <v>17</v>
      </c>
      <c r="J57" s="20"/>
      <c r="K57" s="203"/>
      <c r="L57" s="25"/>
      <c r="M57" s="43"/>
      <c r="N57" s="24">
        <f t="shared" si="2"/>
        <v>17</v>
      </c>
      <c r="O57" s="8">
        <f>(IF(I57="HT",15,IF(I57="BTĐ",11.9,IF(I57="PHT",13,IF(I57="PBTĐ",5.95,IF(I57="giáo vụ",4,IF(OR(I57="TTCM",I57="CTCĐ",I57="LĐ",P57="Con nhỏ"),3,IF(OR(I57="TKHĐ",I57="TTrND"),2,0))))))+(IF(OR(J57="CĐ",J57="TVTL"),1,IF(J57="PBM",2,0)))))</f>
        <v>0</v>
      </c>
      <c r="P57" s="24"/>
    </row>
    <row r="58" spans="1:16" x14ac:dyDescent="0.2">
      <c r="A58" s="12">
        <v>55</v>
      </c>
      <c r="B58" s="25" t="s">
        <v>102</v>
      </c>
      <c r="C58" s="23" t="s">
        <v>166</v>
      </c>
      <c r="D58" s="24" t="s">
        <v>298</v>
      </c>
      <c r="E58" s="24"/>
      <c r="F58" s="24"/>
      <c r="G58" s="24"/>
      <c r="H58" s="24" t="s">
        <v>165</v>
      </c>
      <c r="I58" s="24" t="s">
        <v>15</v>
      </c>
      <c r="J58" s="20"/>
      <c r="K58" s="203"/>
      <c r="L58" s="25"/>
      <c r="M58" s="43"/>
      <c r="N58" s="24">
        <f t="shared" si="2"/>
        <v>17</v>
      </c>
      <c r="O58" s="8">
        <f>(IF(I58="HT",15,IF(I58="BTĐ",11.9,IF(I58="PHT",13,IF(I58="PBTĐ",5.95,IF(I58="giáo vụ",4,IF(OR(I58="TTCM",I58="CTCĐ",I58="LĐ",P58="Con nhỏ"),3,IF(OR(I58="TKHĐ",I58="TTrND"),2,0))))))+(IF(OR(J58="CĐ",J58="TVTL"),1,IF(J58="PBM",2,0)))))</f>
        <v>3</v>
      </c>
      <c r="P58" s="24"/>
    </row>
    <row r="59" spans="1:16" x14ac:dyDescent="0.2">
      <c r="A59" s="12">
        <v>56</v>
      </c>
      <c r="B59" s="25" t="s">
        <v>103</v>
      </c>
      <c r="C59" s="23" t="s">
        <v>167</v>
      </c>
      <c r="D59" s="24"/>
      <c r="E59" s="24"/>
      <c r="F59" s="24" t="s">
        <v>298</v>
      </c>
      <c r="G59" s="24" t="s">
        <v>298</v>
      </c>
      <c r="H59" s="24" t="s">
        <v>165</v>
      </c>
      <c r="I59" s="24" t="s">
        <v>17</v>
      </c>
      <c r="J59" s="20"/>
      <c r="K59" s="25"/>
      <c r="L59" s="25"/>
      <c r="M59" s="355" t="s">
        <v>148</v>
      </c>
      <c r="N59" s="24">
        <f t="shared" si="2"/>
        <v>17</v>
      </c>
      <c r="O59" s="8">
        <f>(IF(I59="HT",15,IF(I59="BTĐ",11.9,IF(I59="PHT",13,IF(I59="PBTĐ",5.95,IF(I59="giáo vụ",4,IF(OR(I59="TTCM",I59="CTCĐ",I59="LĐ",P59="Con nhỏ"),3,IF(OR(I59="TKHĐ",I59="TTrND"),2,0))))))+(IF(OR(J59="CĐ",J59="TVTL"),1,IF(J59="PBM",2,0)))))</f>
        <v>0</v>
      </c>
      <c r="P59" s="24"/>
    </row>
    <row r="60" spans="1:16" x14ac:dyDescent="0.2">
      <c r="A60" s="12">
        <v>57</v>
      </c>
      <c r="B60" s="261" t="s">
        <v>104</v>
      </c>
      <c r="C60" s="262" t="s">
        <v>455</v>
      </c>
      <c r="D60" s="24"/>
      <c r="E60" s="24"/>
      <c r="F60" s="24"/>
      <c r="G60" s="24"/>
      <c r="H60" s="24" t="s">
        <v>165</v>
      </c>
      <c r="I60" s="257" t="s">
        <v>454</v>
      </c>
      <c r="J60" s="20"/>
      <c r="K60" s="25"/>
      <c r="L60" s="25"/>
      <c r="M60" s="43"/>
      <c r="N60" s="24"/>
      <c r="O60" s="8">
        <f>(IF(I60="HT",15,IF(I60="BTĐ",11.9,IF(I60="PHT",13,IF(I60="PBTĐ",5.95,IF(I60="giáo vụ",4,IF(OR(I60="TTCM",I60="CTCĐ",I60="LĐ",P60="Con nhỏ"),3,IF(OR(I60="TKHĐ",I60="TTrND"),2,0))))))+(IF(OR(J60="CĐ",J60="TVTL"),1,IF(J60="PBM",2,0)))))</f>
        <v>0</v>
      </c>
      <c r="P60" s="24"/>
    </row>
    <row r="61" spans="1:16" x14ac:dyDescent="0.2">
      <c r="A61" s="12">
        <v>58</v>
      </c>
      <c r="B61" s="32" t="s">
        <v>207</v>
      </c>
      <c r="C61" s="33" t="s">
        <v>168</v>
      </c>
      <c r="D61" s="29"/>
      <c r="E61" s="29"/>
      <c r="F61" s="29"/>
      <c r="G61" s="29"/>
      <c r="H61" s="29"/>
      <c r="I61" s="29" t="s">
        <v>169</v>
      </c>
      <c r="J61" s="29"/>
      <c r="K61" s="29"/>
      <c r="L61" s="29"/>
      <c r="M61" s="44"/>
      <c r="N61" s="29"/>
      <c r="O61" s="29"/>
      <c r="P61" s="29"/>
    </row>
    <row r="62" spans="1:16" x14ac:dyDescent="0.2">
      <c r="A62" s="12">
        <v>59</v>
      </c>
      <c r="B62" s="32" t="s">
        <v>208</v>
      </c>
      <c r="C62" s="33" t="s">
        <v>170</v>
      </c>
      <c r="D62" s="29"/>
      <c r="E62" s="29"/>
      <c r="F62" s="29" t="s">
        <v>298</v>
      </c>
      <c r="G62" s="29"/>
      <c r="H62" s="29"/>
      <c r="I62" s="29" t="s">
        <v>171</v>
      </c>
      <c r="J62" s="29"/>
      <c r="K62" s="29"/>
      <c r="L62" s="29"/>
      <c r="M62" s="44"/>
      <c r="N62" s="29"/>
      <c r="O62" s="29"/>
      <c r="P62" s="29"/>
    </row>
    <row r="63" spans="1:16" x14ac:dyDescent="0.2">
      <c r="A63" s="12">
        <v>60</v>
      </c>
      <c r="B63" s="32" t="s">
        <v>209</v>
      </c>
      <c r="C63" s="31" t="s">
        <v>174</v>
      </c>
      <c r="D63" s="29"/>
      <c r="E63" s="29"/>
      <c r="F63" s="29" t="s">
        <v>298</v>
      </c>
      <c r="G63" s="29"/>
      <c r="H63" s="29"/>
      <c r="I63" s="29" t="s">
        <v>172</v>
      </c>
      <c r="J63" s="29"/>
      <c r="K63" s="29"/>
      <c r="L63" s="29"/>
      <c r="M63" s="44"/>
      <c r="N63" s="29"/>
      <c r="O63" s="29"/>
      <c r="P63" s="29"/>
    </row>
    <row r="64" spans="1:16" x14ac:dyDescent="0.2">
      <c r="A64" s="12">
        <v>61</v>
      </c>
      <c r="B64" s="32" t="s">
        <v>210</v>
      </c>
      <c r="C64" s="33" t="s">
        <v>232</v>
      </c>
      <c r="D64" s="29"/>
      <c r="E64" s="29"/>
      <c r="F64" s="29" t="s">
        <v>298</v>
      </c>
      <c r="G64" s="29"/>
      <c r="H64" s="29"/>
      <c r="I64" s="29" t="s">
        <v>194</v>
      </c>
      <c r="J64" s="29"/>
      <c r="K64" s="29"/>
      <c r="L64" s="29"/>
      <c r="M64" s="44"/>
      <c r="N64" s="29"/>
      <c r="O64" s="29"/>
      <c r="P64" s="29"/>
    </row>
    <row r="65" spans="1:18" x14ac:dyDescent="0.2">
      <c r="A65" s="12">
        <v>62</v>
      </c>
      <c r="B65" s="32" t="s">
        <v>211</v>
      </c>
      <c r="C65" s="33" t="s">
        <v>341</v>
      </c>
      <c r="D65" s="29"/>
      <c r="E65" s="29"/>
      <c r="F65" s="29" t="s">
        <v>298</v>
      </c>
      <c r="G65" s="29"/>
      <c r="H65" s="29"/>
      <c r="I65" s="29" t="s">
        <v>212</v>
      </c>
      <c r="J65" s="29"/>
      <c r="K65" s="29"/>
      <c r="L65" s="29"/>
      <c r="M65" s="44"/>
      <c r="N65" s="29"/>
      <c r="O65" s="29"/>
      <c r="P65" s="29"/>
    </row>
    <row r="66" spans="1:18" x14ac:dyDescent="0.2">
      <c r="A66" s="12">
        <v>63</v>
      </c>
      <c r="B66" s="32" t="s">
        <v>227</v>
      </c>
      <c r="C66" s="33" t="s">
        <v>340</v>
      </c>
      <c r="D66" s="29"/>
      <c r="E66" s="29"/>
      <c r="F66" s="29"/>
      <c r="G66" s="29"/>
      <c r="H66" s="29"/>
      <c r="I66" s="29" t="s">
        <v>169</v>
      </c>
      <c r="J66" s="29"/>
      <c r="K66" s="29"/>
      <c r="L66" s="29"/>
      <c r="M66" s="44"/>
      <c r="N66" s="29"/>
      <c r="O66" s="29"/>
      <c r="P66" s="29"/>
    </row>
    <row r="67" spans="1:18" x14ac:dyDescent="0.2">
      <c r="A67" s="12">
        <v>64</v>
      </c>
      <c r="B67" s="32" t="s">
        <v>451</v>
      </c>
      <c r="C67" s="33" t="s">
        <v>417</v>
      </c>
      <c r="D67" s="29" t="s">
        <v>298</v>
      </c>
      <c r="E67" s="29"/>
      <c r="F67" s="29" t="s">
        <v>298</v>
      </c>
      <c r="G67" s="29" t="s">
        <v>298</v>
      </c>
      <c r="H67" s="29"/>
      <c r="I67" s="29" t="s">
        <v>456</v>
      </c>
      <c r="J67" s="29"/>
      <c r="K67" s="29"/>
      <c r="L67" s="29"/>
      <c r="M67" s="44"/>
      <c r="N67" s="29"/>
      <c r="O67" s="29"/>
      <c r="P67" s="29"/>
    </row>
    <row r="68" spans="1:18" x14ac:dyDescent="0.2">
      <c r="A68" s="12">
        <v>65</v>
      </c>
      <c r="B68" s="32" t="s">
        <v>450</v>
      </c>
      <c r="C68" s="33" t="s">
        <v>449</v>
      </c>
      <c r="D68" s="29"/>
      <c r="E68" s="29"/>
      <c r="F68" s="29" t="s">
        <v>298</v>
      </c>
      <c r="G68" s="29"/>
      <c r="H68" s="29"/>
      <c r="I68" s="29" t="s">
        <v>226</v>
      </c>
      <c r="J68" s="29"/>
      <c r="K68" s="29"/>
      <c r="L68" s="29"/>
      <c r="M68" s="44"/>
      <c r="N68" s="29"/>
      <c r="O68" s="29"/>
      <c r="P68" s="29"/>
    </row>
    <row r="69" spans="1:18" x14ac:dyDescent="0.2">
      <c r="A69" s="114"/>
      <c r="B69" s="115"/>
      <c r="C69" s="112"/>
      <c r="D69" s="116">
        <f>COUNTA(D4:D68)</f>
        <v>33</v>
      </c>
      <c r="E69" s="116">
        <f>COUNTA(E4:E68)</f>
        <v>18</v>
      </c>
      <c r="F69" s="116">
        <f>COUNTA(F4:F68)</f>
        <v>35</v>
      </c>
      <c r="G69" s="116">
        <f>COUNTA(G4:G68)</f>
        <v>7</v>
      </c>
      <c r="H69" s="116"/>
      <c r="I69" s="116"/>
      <c r="J69" s="116"/>
      <c r="K69" s="116">
        <f>COUNTA(K4:K68)</f>
        <v>26</v>
      </c>
      <c r="L69" s="116">
        <f>COUNTA(L4:L68)</f>
        <v>28</v>
      </c>
      <c r="M69" s="116">
        <f>COUNTA(M4:M68)</f>
        <v>28</v>
      </c>
      <c r="N69" s="113">
        <f>SUM(N4:N68)</f>
        <v>911</v>
      </c>
      <c r="O69" s="113">
        <f>SUM(O4:O68)</f>
        <v>113</v>
      </c>
      <c r="P69" s="113"/>
      <c r="Q69" s="116"/>
      <c r="R69" s="116"/>
    </row>
    <row r="70" spans="1:18" ht="12.75" x14ac:dyDescent="0.2">
      <c r="L70" s="53"/>
      <c r="M70" s="579" t="s">
        <v>304</v>
      </c>
      <c r="N70" s="579"/>
      <c r="O70" s="579"/>
    </row>
    <row r="71" spans="1:18" ht="12.75" x14ac:dyDescent="0.2">
      <c r="L71" s="4"/>
      <c r="M71" s="4"/>
    </row>
    <row r="72" spans="1:18" ht="12.75" x14ac:dyDescent="0.2">
      <c r="L72" s="4"/>
      <c r="M72" s="4"/>
    </row>
    <row r="73" spans="1:18" ht="12.75" x14ac:dyDescent="0.2">
      <c r="L73" s="4"/>
      <c r="M73" s="4"/>
    </row>
    <row r="74" spans="1:18" ht="13.5" x14ac:dyDescent="0.25">
      <c r="L74" s="50"/>
      <c r="M74" s="580" t="s">
        <v>144</v>
      </c>
      <c r="N74" s="580"/>
      <c r="O74" s="580"/>
    </row>
    <row r="89" spans="16:27" ht="18" thickBot="1" x14ac:dyDescent="0.25">
      <c r="P89" s="247">
        <v>445</v>
      </c>
      <c r="Q89" s="247"/>
      <c r="R89" s="247"/>
      <c r="S89" s="247"/>
      <c r="U89" s="247">
        <v>3</v>
      </c>
      <c r="V89" s="247" t="s">
        <v>429</v>
      </c>
      <c r="W89" s="247" t="s">
        <v>430</v>
      </c>
      <c r="X89" s="247" t="s">
        <v>431</v>
      </c>
      <c r="Y89" s="247">
        <v>3</v>
      </c>
      <c r="Z89" s="247">
        <v>3</v>
      </c>
      <c r="AA89" s="248" t="s">
        <v>431</v>
      </c>
    </row>
    <row r="90" spans="16:27" ht="18" thickBot="1" x14ac:dyDescent="0.25">
      <c r="P90" s="247">
        <v>380</v>
      </c>
      <c r="Q90" s="247"/>
      <c r="R90" s="247"/>
      <c r="S90" s="247"/>
      <c r="U90" s="247">
        <v>5</v>
      </c>
      <c r="V90" s="247">
        <v>5</v>
      </c>
      <c r="W90" s="247" t="s">
        <v>429</v>
      </c>
      <c r="X90" s="247" t="s">
        <v>432</v>
      </c>
      <c r="Y90" s="247">
        <v>1</v>
      </c>
      <c r="Z90" s="247">
        <v>5</v>
      </c>
      <c r="AA90" s="247">
        <v>2</v>
      </c>
    </row>
    <row r="91" spans="16:27" ht="18" thickBot="1" x14ac:dyDescent="0.25">
      <c r="P91" s="247">
        <v>315</v>
      </c>
      <c r="Q91" s="247"/>
      <c r="R91" s="247"/>
      <c r="S91" s="247"/>
      <c r="U91" s="247">
        <v>13</v>
      </c>
      <c r="V91" s="247">
        <v>4</v>
      </c>
      <c r="W91" s="247">
        <v>0</v>
      </c>
      <c r="X91" s="247">
        <v>0</v>
      </c>
      <c r="Y91" s="247">
        <v>6</v>
      </c>
      <c r="Z91" s="247">
        <v>13</v>
      </c>
      <c r="AA91" s="247">
        <v>0</v>
      </c>
    </row>
    <row r="92" spans="16:27" ht="18" thickBot="1" x14ac:dyDescent="0.25">
      <c r="P92" s="9">
        <f t="shared" ref="P92" si="5">SUM(P89:P91)</f>
        <v>1140</v>
      </c>
      <c r="U92" s="247">
        <v>5</v>
      </c>
      <c r="V92" s="247">
        <v>5</v>
      </c>
      <c r="W92" s="247">
        <v>0</v>
      </c>
      <c r="X92" s="247">
        <v>0</v>
      </c>
      <c r="Y92" s="247">
        <v>3</v>
      </c>
      <c r="Z92" s="247">
        <v>5</v>
      </c>
      <c r="AA92" s="247">
        <v>0</v>
      </c>
    </row>
    <row r="93" spans="16:27" ht="18" thickBot="1" x14ac:dyDescent="0.25">
      <c r="U93" s="247">
        <v>3</v>
      </c>
      <c r="V93" s="247">
        <v>2</v>
      </c>
      <c r="W93" s="247">
        <v>0</v>
      </c>
      <c r="X93" s="247">
        <v>0</v>
      </c>
      <c r="Y93" s="247">
        <v>1</v>
      </c>
      <c r="Z93" s="247">
        <v>3</v>
      </c>
      <c r="AA93" s="247">
        <v>0</v>
      </c>
    </row>
    <row r="94" spans="16:27" ht="18" thickBot="1" x14ac:dyDescent="0.25">
      <c r="U94" s="247">
        <v>4</v>
      </c>
      <c r="V94" s="247">
        <v>3</v>
      </c>
      <c r="W94" s="247">
        <v>0</v>
      </c>
      <c r="X94" s="247">
        <v>0</v>
      </c>
      <c r="Y94" s="247">
        <v>1</v>
      </c>
      <c r="Z94" s="247">
        <v>4</v>
      </c>
      <c r="AA94" s="247">
        <v>0</v>
      </c>
    </row>
    <row r="95" spans="16:27" ht="18" thickBot="1" x14ac:dyDescent="0.25">
      <c r="U95" s="247">
        <v>2</v>
      </c>
      <c r="V95" s="247">
        <v>1</v>
      </c>
      <c r="W95" s="247">
        <v>0</v>
      </c>
      <c r="X95" s="247">
        <v>0</v>
      </c>
      <c r="Y95" s="247">
        <v>2</v>
      </c>
      <c r="Z95" s="247">
        <v>2</v>
      </c>
      <c r="AA95" s="247">
        <v>0</v>
      </c>
    </row>
    <row r="96" spans="16:27" ht="18" thickBot="1" x14ac:dyDescent="0.25">
      <c r="U96" s="247">
        <v>6</v>
      </c>
      <c r="V96" s="247">
        <v>4</v>
      </c>
      <c r="W96" s="247">
        <v>1</v>
      </c>
      <c r="X96" s="247">
        <v>0</v>
      </c>
      <c r="Y96" s="247">
        <v>4</v>
      </c>
      <c r="Z96" s="247">
        <v>6</v>
      </c>
      <c r="AA96" s="247">
        <v>0</v>
      </c>
    </row>
    <row r="97" spans="21:27" ht="18" thickBot="1" x14ac:dyDescent="0.25">
      <c r="U97" s="247">
        <v>4</v>
      </c>
      <c r="V97" s="247">
        <v>1</v>
      </c>
      <c r="W97" s="247">
        <v>1</v>
      </c>
      <c r="X97" s="247">
        <v>1</v>
      </c>
      <c r="Y97" s="247">
        <v>1</v>
      </c>
      <c r="Z97" s="247">
        <v>4</v>
      </c>
      <c r="AA97" s="247">
        <v>0</v>
      </c>
    </row>
    <row r="98" spans="21:27" ht="18" thickBot="1" x14ac:dyDescent="0.25">
      <c r="U98" s="247">
        <v>3</v>
      </c>
      <c r="V98" s="247">
        <v>2</v>
      </c>
      <c r="W98" s="247">
        <v>0</v>
      </c>
      <c r="X98" s="247">
        <v>0</v>
      </c>
      <c r="Y98" s="247">
        <v>3</v>
      </c>
      <c r="Z98" s="247">
        <v>3</v>
      </c>
      <c r="AA98" s="247">
        <v>0</v>
      </c>
    </row>
    <row r="99" spans="21:27" ht="18" thickBot="1" x14ac:dyDescent="0.25">
      <c r="U99" s="247">
        <v>7</v>
      </c>
      <c r="V99" s="247">
        <v>4</v>
      </c>
      <c r="W99" s="247">
        <v>1</v>
      </c>
      <c r="X99" s="247">
        <v>1</v>
      </c>
      <c r="Y99" s="247">
        <v>5</v>
      </c>
      <c r="Z99" s="247">
        <v>7</v>
      </c>
      <c r="AA99" s="247">
        <v>0</v>
      </c>
    </row>
    <row r="100" spans="21:27" ht="18" thickBot="1" x14ac:dyDescent="0.25">
      <c r="U100" s="247">
        <v>4</v>
      </c>
      <c r="V100" s="247">
        <v>1</v>
      </c>
      <c r="W100" s="247">
        <v>1</v>
      </c>
      <c r="X100" s="247">
        <v>1</v>
      </c>
      <c r="Y100" s="247">
        <v>3</v>
      </c>
      <c r="Z100" s="247">
        <v>4</v>
      </c>
      <c r="AA100" s="247">
        <v>0</v>
      </c>
    </row>
    <row r="101" spans="21:27" ht="18" thickBot="1" x14ac:dyDescent="0.25">
      <c r="U101" s="248">
        <f>SUM(U89:U100)</f>
        <v>59</v>
      </c>
      <c r="V101" s="248">
        <v>32</v>
      </c>
      <c r="W101" s="248">
        <v>4</v>
      </c>
      <c r="X101" s="248">
        <v>3</v>
      </c>
      <c r="Y101" s="248">
        <v>33</v>
      </c>
      <c r="Z101" s="248">
        <v>59</v>
      </c>
      <c r="AA101" s="248">
        <v>2</v>
      </c>
    </row>
  </sheetData>
  <sortState ref="A4:AA59">
    <sortCondition ref="A4:A59"/>
  </sortState>
  <mergeCells count="5">
    <mergeCell ref="A1:H1"/>
    <mergeCell ref="I1:P1"/>
    <mergeCell ref="A2:P2"/>
    <mergeCell ref="M70:O70"/>
    <mergeCell ref="M74:O74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topLeftCell="A9" workbookViewId="0">
      <selection activeCell="C11" sqref="C11"/>
    </sheetView>
  </sheetViews>
  <sheetFormatPr defaultColWidth="5.375" defaultRowHeight="16.5" x14ac:dyDescent="0.25"/>
  <cols>
    <col min="1" max="1" width="6.375" style="67" bestFit="1" customWidth="1"/>
    <col min="2" max="2" width="7.625" style="67" bestFit="1" customWidth="1"/>
    <col min="3" max="3" width="24.125" style="67" bestFit="1" customWidth="1"/>
    <col min="4" max="4" width="15" style="67" bestFit="1" customWidth="1"/>
    <col min="5" max="5" width="8.625" style="67" bestFit="1" customWidth="1"/>
    <col min="6" max="6" width="14.625" style="67" customWidth="1"/>
    <col min="7" max="7" width="10.5" style="67" bestFit="1" customWidth="1"/>
    <col min="8" max="8" width="26.625" style="67" customWidth="1"/>
    <col min="9" max="9" width="18.625" style="67" customWidth="1"/>
    <col min="10" max="16384" width="5.375" style="67"/>
  </cols>
  <sheetData>
    <row r="1" spans="1:9" s="9" customFormat="1" ht="33.6" customHeight="1" x14ac:dyDescent="0.25">
      <c r="A1" s="574" t="s">
        <v>333</v>
      </c>
      <c r="B1" s="574"/>
      <c r="C1" s="574"/>
      <c r="D1" s="574"/>
      <c r="E1" s="576" t="s">
        <v>331</v>
      </c>
      <c r="F1" s="576"/>
      <c r="G1" s="576"/>
      <c r="H1" s="576"/>
      <c r="I1" s="576"/>
    </row>
    <row r="2" spans="1:9" s="9" customFormat="1" ht="9" customHeight="1" x14ac:dyDescent="0.25">
      <c r="A2" s="249"/>
      <c r="B2" s="249"/>
      <c r="C2" s="249"/>
      <c r="D2" s="250"/>
      <c r="E2" s="250"/>
      <c r="F2" s="250"/>
      <c r="G2" s="250"/>
      <c r="H2" s="250"/>
    </row>
    <row r="3" spans="1:9" ht="18.75" x14ac:dyDescent="0.3">
      <c r="A3" s="581" t="s">
        <v>479</v>
      </c>
      <c r="B3" s="581"/>
      <c r="C3" s="581"/>
      <c r="D3" s="581"/>
      <c r="E3" s="581"/>
      <c r="F3" s="581"/>
      <c r="G3" s="581"/>
      <c r="H3" s="581"/>
      <c r="I3" s="581"/>
    </row>
    <row r="4" spans="1:9" s="255" customFormat="1" ht="18.75" x14ac:dyDescent="0.3">
      <c r="A4" s="582" t="s">
        <v>497</v>
      </c>
      <c r="B4" s="582"/>
      <c r="C4" s="582"/>
      <c r="D4" s="582"/>
      <c r="E4" s="582"/>
      <c r="F4" s="582"/>
      <c r="G4" s="582"/>
      <c r="H4" s="582"/>
      <c r="I4" s="582"/>
    </row>
    <row r="5" spans="1:9" ht="9" customHeight="1" x14ac:dyDescent="0.25"/>
    <row r="6" spans="1:9" x14ac:dyDescent="0.25">
      <c r="A6" s="202" t="s">
        <v>448</v>
      </c>
      <c r="B6" s="202" t="s">
        <v>222</v>
      </c>
      <c r="C6" s="202" t="s">
        <v>223</v>
      </c>
      <c r="D6" s="202" t="s">
        <v>363</v>
      </c>
      <c r="E6" s="202" t="s">
        <v>224</v>
      </c>
      <c r="F6" s="360" t="s">
        <v>225</v>
      </c>
      <c r="G6" s="202" t="s">
        <v>233</v>
      </c>
      <c r="H6" s="202" t="s">
        <v>446</v>
      </c>
      <c r="I6" s="202" t="s">
        <v>447</v>
      </c>
    </row>
    <row r="7" spans="1:9" s="74" customFormat="1" x14ac:dyDescent="0.25">
      <c r="A7" s="343">
        <v>1</v>
      </c>
      <c r="B7" s="344" t="s">
        <v>81</v>
      </c>
      <c r="C7" s="345" t="s">
        <v>496</v>
      </c>
      <c r="D7" s="343" t="s">
        <v>492</v>
      </c>
      <c r="E7" s="343" t="s">
        <v>17</v>
      </c>
      <c r="F7" s="344" t="s">
        <v>31</v>
      </c>
      <c r="G7" s="356" t="s">
        <v>240</v>
      </c>
      <c r="H7" s="346" t="s">
        <v>481</v>
      </c>
      <c r="I7" s="347" t="s">
        <v>480</v>
      </c>
    </row>
    <row r="8" spans="1:9" s="74" customFormat="1" x14ac:dyDescent="0.25">
      <c r="A8" s="343">
        <v>2</v>
      </c>
      <c r="B8" s="344" t="s">
        <v>95</v>
      </c>
      <c r="C8" s="345" t="s">
        <v>160</v>
      </c>
      <c r="D8" s="343" t="s">
        <v>33</v>
      </c>
      <c r="E8" s="343" t="s">
        <v>17</v>
      </c>
      <c r="F8" s="344" t="s">
        <v>21</v>
      </c>
      <c r="G8" s="356" t="s">
        <v>241</v>
      </c>
      <c r="H8" s="346" t="s">
        <v>500</v>
      </c>
      <c r="I8" s="347" t="s">
        <v>445</v>
      </c>
    </row>
    <row r="9" spans="1:9" s="74" customFormat="1" x14ac:dyDescent="0.25">
      <c r="A9" s="343">
        <v>3</v>
      </c>
      <c r="B9" s="344" t="s">
        <v>103</v>
      </c>
      <c r="C9" s="359" t="s">
        <v>499</v>
      </c>
      <c r="D9" s="343" t="s">
        <v>495</v>
      </c>
      <c r="E9" s="343" t="s">
        <v>17</v>
      </c>
      <c r="F9" s="344" t="s">
        <v>148</v>
      </c>
      <c r="G9" s="356" t="s">
        <v>242</v>
      </c>
      <c r="H9" s="346" t="s">
        <v>440</v>
      </c>
      <c r="I9" s="347" t="s">
        <v>444</v>
      </c>
    </row>
    <row r="10" spans="1:9" s="74" customFormat="1" x14ac:dyDescent="0.25">
      <c r="A10" s="343">
        <v>4</v>
      </c>
      <c r="B10" s="344" t="s">
        <v>59</v>
      </c>
      <c r="C10" s="345" t="s">
        <v>131</v>
      </c>
      <c r="D10" s="343" t="s">
        <v>490</v>
      </c>
      <c r="E10" s="343" t="s">
        <v>17</v>
      </c>
      <c r="F10" s="344" t="s">
        <v>121</v>
      </c>
      <c r="G10" s="356" t="s">
        <v>243</v>
      </c>
      <c r="H10" s="346" t="s">
        <v>482</v>
      </c>
      <c r="I10" s="347" t="s">
        <v>444</v>
      </c>
    </row>
    <row r="11" spans="1:9" s="74" customFormat="1" x14ac:dyDescent="0.25">
      <c r="A11" s="343">
        <v>5</v>
      </c>
      <c r="B11" s="344" t="s">
        <v>504</v>
      </c>
      <c r="C11" s="345" t="s">
        <v>511</v>
      </c>
      <c r="D11" s="343" t="s">
        <v>494</v>
      </c>
      <c r="E11" s="343" t="s">
        <v>17</v>
      </c>
      <c r="F11" s="344" t="s">
        <v>116</v>
      </c>
      <c r="G11" s="356" t="s">
        <v>244</v>
      </c>
      <c r="H11" s="346" t="s">
        <v>483</v>
      </c>
      <c r="I11" s="347" t="s">
        <v>443</v>
      </c>
    </row>
    <row r="12" spans="1:9" s="74" customFormat="1" x14ac:dyDescent="0.25">
      <c r="A12" s="343">
        <v>6</v>
      </c>
      <c r="B12" s="344" t="s">
        <v>67</v>
      </c>
      <c r="C12" s="345" t="s">
        <v>493</v>
      </c>
      <c r="D12" s="343" t="s">
        <v>491</v>
      </c>
      <c r="E12" s="343" t="s">
        <v>17</v>
      </c>
      <c r="F12" s="344" t="s">
        <v>196</v>
      </c>
      <c r="G12" s="356" t="s">
        <v>245</v>
      </c>
      <c r="H12" s="346" t="s">
        <v>484</v>
      </c>
      <c r="I12" s="347" t="s">
        <v>442</v>
      </c>
    </row>
    <row r="13" spans="1:9" s="74" customFormat="1" x14ac:dyDescent="0.25">
      <c r="A13" s="343">
        <v>7</v>
      </c>
      <c r="B13" s="344" t="s">
        <v>50</v>
      </c>
      <c r="C13" s="345" t="s">
        <v>487</v>
      </c>
      <c r="D13" s="343" t="s">
        <v>489</v>
      </c>
      <c r="E13" s="343" t="s">
        <v>17</v>
      </c>
      <c r="F13" s="344" t="s">
        <v>197</v>
      </c>
      <c r="G13" s="356" t="s">
        <v>250</v>
      </c>
      <c r="H13" s="346" t="s">
        <v>436</v>
      </c>
      <c r="I13" s="347" t="s">
        <v>442</v>
      </c>
    </row>
    <row r="14" spans="1:9" s="74" customFormat="1" x14ac:dyDescent="0.25">
      <c r="A14" s="343">
        <v>8</v>
      </c>
      <c r="B14" s="344" t="s">
        <v>51</v>
      </c>
      <c r="C14" s="345" t="s">
        <v>488</v>
      </c>
      <c r="D14" s="343" t="s">
        <v>489</v>
      </c>
      <c r="E14" s="343" t="s">
        <v>17</v>
      </c>
      <c r="F14" s="344" t="s">
        <v>198</v>
      </c>
      <c r="G14" s="356" t="s">
        <v>251</v>
      </c>
      <c r="H14" s="346" t="s">
        <v>436</v>
      </c>
      <c r="I14" s="347" t="s">
        <v>442</v>
      </c>
    </row>
    <row r="15" spans="1:9" x14ac:dyDescent="0.25">
      <c r="A15" s="348">
        <v>9</v>
      </c>
      <c r="B15" s="349" t="s">
        <v>79</v>
      </c>
      <c r="C15" s="350" t="s">
        <v>453</v>
      </c>
      <c r="D15" s="348" t="s">
        <v>492</v>
      </c>
      <c r="E15" s="348" t="s">
        <v>17</v>
      </c>
      <c r="F15" s="349" t="s">
        <v>18</v>
      </c>
      <c r="G15" s="357">
        <v>26</v>
      </c>
      <c r="H15" s="351" t="s">
        <v>441</v>
      </c>
      <c r="I15" s="352" t="s">
        <v>445</v>
      </c>
    </row>
    <row r="16" spans="1:9" s="74" customFormat="1" x14ac:dyDescent="0.25">
      <c r="A16" s="348">
        <v>10</v>
      </c>
      <c r="B16" s="349" t="s">
        <v>220</v>
      </c>
      <c r="C16" s="350" t="s">
        <v>230</v>
      </c>
      <c r="D16" s="348" t="s">
        <v>234</v>
      </c>
      <c r="E16" s="348" t="s">
        <v>17</v>
      </c>
      <c r="F16" s="349" t="s">
        <v>24</v>
      </c>
      <c r="G16" s="357">
        <v>27</v>
      </c>
      <c r="H16" s="351" t="s">
        <v>440</v>
      </c>
      <c r="I16" s="352" t="s">
        <v>444</v>
      </c>
    </row>
    <row r="17" spans="1:9" x14ac:dyDescent="0.25">
      <c r="A17" s="348">
        <v>12</v>
      </c>
      <c r="B17" s="349" t="s">
        <v>13</v>
      </c>
      <c r="C17" s="350" t="s">
        <v>115</v>
      </c>
      <c r="D17" s="348" t="s">
        <v>19</v>
      </c>
      <c r="E17" s="348" t="s">
        <v>17</v>
      </c>
      <c r="F17" s="349" t="s">
        <v>124</v>
      </c>
      <c r="G17" s="357">
        <v>28</v>
      </c>
      <c r="H17" s="351" t="s">
        <v>439</v>
      </c>
      <c r="I17" s="352" t="s">
        <v>444</v>
      </c>
    </row>
    <row r="18" spans="1:9" x14ac:dyDescent="0.25">
      <c r="A18" s="348">
        <v>11</v>
      </c>
      <c r="B18" s="349" t="s">
        <v>78</v>
      </c>
      <c r="C18" s="350" t="s">
        <v>452</v>
      </c>
      <c r="D18" s="348" t="s">
        <v>492</v>
      </c>
      <c r="E18" s="348" t="s">
        <v>17</v>
      </c>
      <c r="F18" s="349" t="s">
        <v>142</v>
      </c>
      <c r="G18" s="357">
        <v>29</v>
      </c>
      <c r="H18" s="351" t="s">
        <v>439</v>
      </c>
      <c r="I18" s="352" t="s">
        <v>444</v>
      </c>
    </row>
    <row r="19" spans="1:9" x14ac:dyDescent="0.25">
      <c r="A19" s="348">
        <v>13</v>
      </c>
      <c r="B19" s="349" t="s">
        <v>67</v>
      </c>
      <c r="C19" s="350" t="s">
        <v>139</v>
      </c>
      <c r="D19" s="348" t="s">
        <v>491</v>
      </c>
      <c r="E19" s="348" t="s">
        <v>17</v>
      </c>
      <c r="F19" s="349" t="s">
        <v>138</v>
      </c>
      <c r="G19" s="357">
        <v>30</v>
      </c>
      <c r="H19" s="351" t="s">
        <v>438</v>
      </c>
      <c r="I19" s="352" t="s">
        <v>443</v>
      </c>
    </row>
    <row r="20" spans="1:9" x14ac:dyDescent="0.25">
      <c r="A20" s="348">
        <v>14</v>
      </c>
      <c r="B20" s="349" t="s">
        <v>190</v>
      </c>
      <c r="C20" s="350" t="s">
        <v>163</v>
      </c>
      <c r="D20" s="348" t="s">
        <v>33</v>
      </c>
      <c r="E20" s="348" t="s">
        <v>17</v>
      </c>
      <c r="F20" s="349" t="s">
        <v>201</v>
      </c>
      <c r="G20" s="357">
        <v>31</v>
      </c>
      <c r="H20" s="351" t="s">
        <v>438</v>
      </c>
      <c r="I20" s="352" t="s">
        <v>443</v>
      </c>
    </row>
    <row r="21" spans="1:9" x14ac:dyDescent="0.25">
      <c r="A21" s="348">
        <v>15</v>
      </c>
      <c r="B21" s="349" t="s">
        <v>73</v>
      </c>
      <c r="C21" s="350" t="s">
        <v>145</v>
      </c>
      <c r="D21" s="348" t="s">
        <v>179</v>
      </c>
      <c r="E21" s="348" t="s">
        <v>17</v>
      </c>
      <c r="F21" s="349" t="s">
        <v>202</v>
      </c>
      <c r="G21" s="357">
        <v>32</v>
      </c>
      <c r="H21" s="351" t="s">
        <v>437</v>
      </c>
      <c r="I21" s="352" t="s">
        <v>442</v>
      </c>
    </row>
    <row r="22" spans="1:9" x14ac:dyDescent="0.25">
      <c r="A22" s="348">
        <v>16</v>
      </c>
      <c r="B22" s="349" t="s">
        <v>60</v>
      </c>
      <c r="C22" s="350" t="s">
        <v>132</v>
      </c>
      <c r="D22" s="348" t="s">
        <v>23</v>
      </c>
      <c r="E22" s="348" t="s">
        <v>17</v>
      </c>
      <c r="F22" s="349" t="s">
        <v>203</v>
      </c>
      <c r="G22" s="357">
        <v>33</v>
      </c>
      <c r="H22" s="351" t="s">
        <v>436</v>
      </c>
      <c r="I22" s="352" t="s">
        <v>442</v>
      </c>
    </row>
    <row r="23" spans="1:9" x14ac:dyDescent="0.25">
      <c r="A23" s="348">
        <v>17</v>
      </c>
      <c r="B23" s="349" t="s">
        <v>53</v>
      </c>
      <c r="C23" s="350" t="s">
        <v>126</v>
      </c>
      <c r="D23" s="348" t="s">
        <v>19</v>
      </c>
      <c r="E23" s="348" t="s">
        <v>17</v>
      </c>
      <c r="F23" s="349" t="s">
        <v>204</v>
      </c>
      <c r="G23" s="357">
        <v>34</v>
      </c>
      <c r="H23" s="351" t="s">
        <v>436</v>
      </c>
      <c r="I23" s="352" t="s">
        <v>442</v>
      </c>
    </row>
    <row r="24" spans="1:9" s="74" customFormat="1" x14ac:dyDescent="0.25">
      <c r="A24" s="348">
        <v>18</v>
      </c>
      <c r="B24" s="349" t="s">
        <v>97</v>
      </c>
      <c r="C24" s="350" t="s">
        <v>162</v>
      </c>
      <c r="D24" s="348" t="s">
        <v>33</v>
      </c>
      <c r="E24" s="348" t="s">
        <v>17</v>
      </c>
      <c r="F24" s="349" t="s">
        <v>305</v>
      </c>
      <c r="G24" s="357">
        <v>35</v>
      </c>
      <c r="H24" s="351" t="s">
        <v>436</v>
      </c>
      <c r="I24" s="352" t="s">
        <v>442</v>
      </c>
    </row>
    <row r="25" spans="1:9" x14ac:dyDescent="0.25">
      <c r="A25" s="353">
        <v>19</v>
      </c>
      <c r="B25" s="354" t="s">
        <v>66</v>
      </c>
      <c r="C25" s="342" t="s">
        <v>137</v>
      </c>
      <c r="D25" s="251" t="s">
        <v>26</v>
      </c>
      <c r="E25" s="251" t="s">
        <v>17</v>
      </c>
      <c r="F25" s="252" t="s">
        <v>27</v>
      </c>
      <c r="G25" s="358" t="s">
        <v>246</v>
      </c>
      <c r="H25" s="253" t="s">
        <v>436</v>
      </c>
      <c r="I25" s="254" t="s">
        <v>442</v>
      </c>
    </row>
    <row r="26" spans="1:9" x14ac:dyDescent="0.25">
      <c r="A26" s="353">
        <v>20</v>
      </c>
      <c r="B26" s="354" t="s">
        <v>47</v>
      </c>
      <c r="C26" s="342" t="s">
        <v>119</v>
      </c>
      <c r="D26" s="251" t="s">
        <v>19</v>
      </c>
      <c r="E26" s="251" t="s">
        <v>17</v>
      </c>
      <c r="F26" s="252" t="s">
        <v>30</v>
      </c>
      <c r="G26" s="358" t="s">
        <v>247</v>
      </c>
      <c r="H26" s="253" t="s">
        <v>436</v>
      </c>
      <c r="I26" s="254" t="s">
        <v>442</v>
      </c>
    </row>
    <row r="27" spans="1:9" s="68" customFormat="1" x14ac:dyDescent="0.25">
      <c r="A27" s="353">
        <v>21</v>
      </c>
      <c r="B27" s="354" t="s">
        <v>74</v>
      </c>
      <c r="C27" s="342" t="s">
        <v>147</v>
      </c>
      <c r="D27" s="251" t="s">
        <v>179</v>
      </c>
      <c r="E27" s="251" t="s">
        <v>17</v>
      </c>
      <c r="F27" s="252" t="s">
        <v>20</v>
      </c>
      <c r="G27" s="358" t="s">
        <v>248</v>
      </c>
      <c r="H27" s="253" t="s">
        <v>437</v>
      </c>
      <c r="I27" s="254" t="s">
        <v>442</v>
      </c>
    </row>
    <row r="28" spans="1:9" s="74" customFormat="1" x14ac:dyDescent="0.25">
      <c r="A28" s="353">
        <v>22</v>
      </c>
      <c r="B28" s="354" t="s">
        <v>45</v>
      </c>
      <c r="C28" s="361" t="s">
        <v>117</v>
      </c>
      <c r="D28" s="251" t="s">
        <v>489</v>
      </c>
      <c r="E28" s="251" t="s">
        <v>17</v>
      </c>
      <c r="F28" s="252" t="s">
        <v>140</v>
      </c>
      <c r="G28" s="358" t="s">
        <v>249</v>
      </c>
      <c r="H28" s="253" t="s">
        <v>438</v>
      </c>
      <c r="I28" s="254" t="s">
        <v>443</v>
      </c>
    </row>
    <row r="29" spans="1:9" x14ac:dyDescent="0.25">
      <c r="A29" s="353">
        <v>23</v>
      </c>
      <c r="B29" s="354" t="s">
        <v>69</v>
      </c>
      <c r="C29" s="342" t="s">
        <v>231</v>
      </c>
      <c r="D29" s="251" t="s">
        <v>26</v>
      </c>
      <c r="E29" s="251" t="s">
        <v>17</v>
      </c>
      <c r="F29" s="252" t="s">
        <v>173</v>
      </c>
      <c r="G29" s="358" t="s">
        <v>252</v>
      </c>
      <c r="H29" s="253" t="s">
        <v>438</v>
      </c>
      <c r="I29" s="254" t="s">
        <v>443</v>
      </c>
    </row>
    <row r="30" spans="1:9" s="74" customFormat="1" x14ac:dyDescent="0.25">
      <c r="A30" s="353">
        <v>24</v>
      </c>
      <c r="B30" s="354" t="s">
        <v>91</v>
      </c>
      <c r="C30" s="342" t="s">
        <v>485</v>
      </c>
      <c r="D30" s="251" t="s">
        <v>234</v>
      </c>
      <c r="E30" s="251" t="s">
        <v>17</v>
      </c>
      <c r="F30" s="252" t="s">
        <v>213</v>
      </c>
      <c r="G30" s="358" t="s">
        <v>253</v>
      </c>
      <c r="H30" s="253" t="s">
        <v>439</v>
      </c>
      <c r="I30" s="254" t="s">
        <v>444</v>
      </c>
    </row>
    <row r="31" spans="1:9" x14ac:dyDescent="0.25">
      <c r="A31" s="353">
        <v>25</v>
      </c>
      <c r="B31" s="354" t="s">
        <v>61</v>
      </c>
      <c r="C31" s="342" t="s">
        <v>133</v>
      </c>
      <c r="D31" s="251" t="s">
        <v>490</v>
      </c>
      <c r="E31" s="251" t="s">
        <v>17</v>
      </c>
      <c r="F31" s="252" t="s">
        <v>214</v>
      </c>
      <c r="G31" s="358" t="s">
        <v>254</v>
      </c>
      <c r="H31" s="253" t="s">
        <v>439</v>
      </c>
      <c r="I31" s="254" t="s">
        <v>444</v>
      </c>
    </row>
    <row r="32" spans="1:9" x14ac:dyDescent="0.25">
      <c r="A32" s="353">
        <v>26</v>
      </c>
      <c r="B32" s="354" t="s">
        <v>90</v>
      </c>
      <c r="C32" s="342" t="s">
        <v>486</v>
      </c>
      <c r="D32" s="251" t="s">
        <v>234</v>
      </c>
      <c r="E32" s="251" t="s">
        <v>17</v>
      </c>
      <c r="F32" s="252" t="s">
        <v>215</v>
      </c>
      <c r="G32" s="358" t="s">
        <v>255</v>
      </c>
      <c r="H32" s="253" t="s">
        <v>439</v>
      </c>
      <c r="I32" s="254" t="s">
        <v>444</v>
      </c>
    </row>
    <row r="33" spans="1:9" x14ac:dyDescent="0.25">
      <c r="A33" s="353">
        <v>27</v>
      </c>
      <c r="B33" s="354" t="s">
        <v>58</v>
      </c>
      <c r="C33" s="342" t="s">
        <v>130</v>
      </c>
      <c r="D33" s="251" t="s">
        <v>23</v>
      </c>
      <c r="E33" s="251" t="s">
        <v>17</v>
      </c>
      <c r="F33" s="252" t="s">
        <v>219</v>
      </c>
      <c r="G33" s="358" t="s">
        <v>256</v>
      </c>
      <c r="H33" s="253" t="s">
        <v>440</v>
      </c>
      <c r="I33" s="254" t="s">
        <v>444</v>
      </c>
    </row>
    <row r="34" spans="1:9" x14ac:dyDescent="0.25">
      <c r="A34" s="353">
        <v>28</v>
      </c>
      <c r="B34" s="354" t="s">
        <v>85</v>
      </c>
      <c r="C34" s="342" t="s">
        <v>228</v>
      </c>
      <c r="D34" s="251" t="s">
        <v>467</v>
      </c>
      <c r="E34" s="251" t="s">
        <v>17</v>
      </c>
      <c r="F34" s="252" t="s">
        <v>478</v>
      </c>
      <c r="G34" s="358" t="s">
        <v>257</v>
      </c>
      <c r="H34" s="253" t="s">
        <v>441</v>
      </c>
      <c r="I34" s="254" t="s">
        <v>445</v>
      </c>
    </row>
  </sheetData>
  <sortState ref="A7:I34">
    <sortCondition ref="A7:A34"/>
  </sortState>
  <mergeCells count="4">
    <mergeCell ref="A3:I3"/>
    <mergeCell ref="E1:I1"/>
    <mergeCell ref="A1:D1"/>
    <mergeCell ref="A4:I4"/>
  </mergeCells>
  <phoneticPr fontId="9" type="noConversion"/>
  <printOptions horizontalCentered="1"/>
  <pageMargins left="0.31496062992125984" right="0" top="0.23622047244094491" bottom="0.23622047244094491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BI92"/>
  <sheetViews>
    <sheetView view="pageBreakPreview" zoomScale="115" zoomScaleNormal="130" zoomScaleSheetLayoutView="115" workbookViewId="0">
      <pane xSplit="2" ySplit="6" topLeftCell="F10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AP48" sqref="AP45:AQ48"/>
    </sheetView>
  </sheetViews>
  <sheetFormatPr defaultColWidth="9" defaultRowHeight="11.25" x14ac:dyDescent="0.2"/>
  <cols>
    <col min="1" max="1" width="2.375" style="37" bestFit="1" customWidth="1"/>
    <col min="2" max="2" width="4" style="37" customWidth="1"/>
    <col min="3" max="3" width="2.625" style="37" customWidth="1"/>
    <col min="4" max="6" width="2.5" style="37" customWidth="1"/>
    <col min="7" max="19" width="2.125" style="37" customWidth="1"/>
    <col min="20" max="20" width="1.875" style="37" customWidth="1"/>
    <col min="21" max="37" width="2.125" style="37" customWidth="1"/>
    <col min="38" max="40" width="1.875" style="37" customWidth="1"/>
    <col min="41" max="41" width="2.125" style="37" customWidth="1"/>
    <col min="42" max="43" width="2.5" style="37" customWidth="1"/>
    <col min="44" max="44" width="2.125" style="37" customWidth="1"/>
    <col min="45" max="45" width="2.5" style="37" bestFit="1" customWidth="1"/>
    <col min="46" max="46" width="2.125" style="37" customWidth="1"/>
    <col min="47" max="47" width="2.625" style="37" customWidth="1"/>
    <col min="48" max="48" width="2.375" style="37" customWidth="1"/>
    <col min="49" max="49" width="2.125" style="37" customWidth="1"/>
    <col min="50" max="51" width="2.625" style="37" customWidth="1"/>
    <col min="52" max="52" width="2.5" style="37" customWidth="1"/>
    <col min="53" max="53" width="2.625" style="37" customWidth="1"/>
    <col min="54" max="54" width="2.5" style="37" bestFit="1" customWidth="1"/>
    <col min="55" max="56" width="2.125" style="37" customWidth="1"/>
    <col min="57" max="60" width="1.875" style="37" customWidth="1"/>
    <col min="61" max="61" width="3.875" style="37" bestFit="1" customWidth="1"/>
    <col min="62" max="16384" width="9" style="37"/>
  </cols>
  <sheetData>
    <row r="1" spans="1:60" ht="12.75" customHeight="1" x14ac:dyDescent="0.2">
      <c r="A1" s="579" t="s">
        <v>0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669" t="s">
        <v>331</v>
      </c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69"/>
      <c r="AV1" s="669"/>
      <c r="AW1" s="669"/>
      <c r="AX1" s="669"/>
      <c r="AY1" s="669"/>
      <c r="AZ1" s="669"/>
      <c r="BA1" s="669"/>
      <c r="BB1" s="669"/>
      <c r="BC1" s="669"/>
      <c r="BD1" s="669"/>
      <c r="BE1" s="669"/>
      <c r="BF1" s="669"/>
      <c r="BG1" s="669"/>
      <c r="BH1" s="669"/>
    </row>
    <row r="2" spans="1:60" ht="15.75" x14ac:dyDescent="0.25">
      <c r="A2" s="675" t="s">
        <v>1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69"/>
      <c r="AG2" s="669"/>
      <c r="AH2" s="669"/>
      <c r="AI2" s="669"/>
      <c r="AJ2" s="669"/>
      <c r="AK2" s="669"/>
      <c r="AL2" s="669"/>
      <c r="AM2" s="669"/>
      <c r="AN2" s="669"/>
      <c r="AO2" s="669"/>
      <c r="AP2" s="669"/>
      <c r="AQ2" s="669"/>
      <c r="AR2" s="669"/>
      <c r="AS2" s="669"/>
      <c r="AT2" s="669"/>
      <c r="AU2" s="669"/>
      <c r="AV2" s="669"/>
      <c r="AW2" s="669"/>
      <c r="AX2" s="669"/>
      <c r="AY2" s="669"/>
      <c r="AZ2" s="669"/>
      <c r="BA2" s="669"/>
      <c r="BB2" s="669"/>
      <c r="BC2" s="669"/>
      <c r="BD2" s="669"/>
      <c r="BE2" s="669"/>
      <c r="BF2" s="669"/>
      <c r="BG2" s="669"/>
      <c r="BH2" s="669"/>
    </row>
    <row r="3" spans="1:60" ht="15.75" x14ac:dyDescent="0.25">
      <c r="A3" s="678" t="s">
        <v>343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</row>
    <row r="4" spans="1:60" ht="6" customHeight="1" x14ac:dyDescent="0.3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</row>
    <row r="5" spans="1:60" s="103" customFormat="1" ht="12.75" customHeight="1" x14ac:dyDescent="0.25">
      <c r="A5" s="637" t="s">
        <v>2</v>
      </c>
      <c r="B5" s="637" t="s">
        <v>35</v>
      </c>
      <c r="C5" s="637" t="s">
        <v>28</v>
      </c>
      <c r="D5" s="660" t="s">
        <v>183</v>
      </c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 t="s">
        <v>185</v>
      </c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  <c r="AO5" s="660"/>
      <c r="AP5" s="662" t="s">
        <v>313</v>
      </c>
      <c r="AQ5" s="663"/>
      <c r="AR5" s="663"/>
      <c r="AS5" s="663"/>
      <c r="AT5" s="663"/>
      <c r="AU5" s="663"/>
      <c r="AV5" s="663"/>
      <c r="AW5" s="663"/>
      <c r="AX5" s="663"/>
      <c r="AY5" s="663"/>
      <c r="AZ5" s="663"/>
      <c r="BA5" s="663"/>
      <c r="BB5" s="663"/>
      <c r="BC5" s="663"/>
      <c r="BD5" s="663"/>
      <c r="BE5" s="663"/>
      <c r="BF5" s="663"/>
      <c r="BG5" s="664"/>
      <c r="BH5" s="659" t="s">
        <v>38</v>
      </c>
    </row>
    <row r="6" spans="1:60" s="185" customFormat="1" ht="38.1" customHeight="1" x14ac:dyDescent="0.25">
      <c r="A6" s="637"/>
      <c r="B6" s="637"/>
      <c r="C6" s="637"/>
      <c r="D6" s="181" t="s">
        <v>180</v>
      </c>
      <c r="E6" s="181" t="s">
        <v>14</v>
      </c>
      <c r="F6" s="181" t="s">
        <v>182</v>
      </c>
      <c r="G6" s="181" t="s">
        <v>34</v>
      </c>
      <c r="H6" s="181" t="s">
        <v>36</v>
      </c>
      <c r="I6" s="181" t="s">
        <v>181</v>
      </c>
      <c r="J6" s="181" t="s">
        <v>311</v>
      </c>
      <c r="K6" s="181" t="s">
        <v>309</v>
      </c>
      <c r="L6" s="181" t="s">
        <v>178</v>
      </c>
      <c r="M6" s="181" t="s">
        <v>26</v>
      </c>
      <c r="N6" s="181" t="s">
        <v>179</v>
      </c>
      <c r="O6" s="181" t="s">
        <v>32</v>
      </c>
      <c r="P6" s="181" t="s">
        <v>312</v>
      </c>
      <c r="Q6" s="181" t="s">
        <v>22</v>
      </c>
      <c r="R6" s="181" t="s">
        <v>323</v>
      </c>
      <c r="S6" s="181" t="s">
        <v>327</v>
      </c>
      <c r="T6" s="181" t="s">
        <v>314</v>
      </c>
      <c r="U6" s="181" t="s">
        <v>315</v>
      </c>
      <c r="V6" s="182" t="s">
        <v>184</v>
      </c>
      <c r="W6" s="181" t="s">
        <v>180</v>
      </c>
      <c r="X6" s="181" t="s">
        <v>14</v>
      </c>
      <c r="Y6" s="181" t="s">
        <v>182</v>
      </c>
      <c r="Z6" s="181" t="s">
        <v>34</v>
      </c>
      <c r="AA6" s="181" t="s">
        <v>36</v>
      </c>
      <c r="AB6" s="181" t="s">
        <v>181</v>
      </c>
      <c r="AC6" s="181" t="s">
        <v>311</v>
      </c>
      <c r="AD6" s="181" t="s">
        <v>310</v>
      </c>
      <c r="AE6" s="181" t="s">
        <v>178</v>
      </c>
      <c r="AF6" s="181" t="s">
        <v>26</v>
      </c>
      <c r="AG6" s="181" t="s">
        <v>179</v>
      </c>
      <c r="AH6" s="181" t="s">
        <v>32</v>
      </c>
      <c r="AI6" s="181" t="s">
        <v>312</v>
      </c>
      <c r="AJ6" s="181" t="s">
        <v>22</v>
      </c>
      <c r="AK6" s="183" t="s">
        <v>323</v>
      </c>
      <c r="AL6" s="181" t="s">
        <v>327</v>
      </c>
      <c r="AM6" s="181" t="s">
        <v>314</v>
      </c>
      <c r="AN6" s="181" t="s">
        <v>315</v>
      </c>
      <c r="AO6" s="184" t="s">
        <v>184</v>
      </c>
      <c r="AP6" s="181" t="s">
        <v>180</v>
      </c>
      <c r="AQ6" s="181" t="s">
        <v>14</v>
      </c>
      <c r="AR6" s="181" t="s">
        <v>182</v>
      </c>
      <c r="AS6" s="181" t="s">
        <v>34</v>
      </c>
      <c r="AT6" s="181" t="s">
        <v>36</v>
      </c>
      <c r="AU6" s="181" t="s">
        <v>181</v>
      </c>
      <c r="AV6" s="181" t="s">
        <v>311</v>
      </c>
      <c r="AW6" s="181" t="s">
        <v>309</v>
      </c>
      <c r="AX6" s="181" t="s">
        <v>178</v>
      </c>
      <c r="AY6" s="181" t="s">
        <v>26</v>
      </c>
      <c r="AZ6" s="181" t="s">
        <v>179</v>
      </c>
      <c r="BA6" s="181" t="s">
        <v>32</v>
      </c>
      <c r="BB6" s="181" t="s">
        <v>312</v>
      </c>
      <c r="BC6" s="181" t="s">
        <v>22</v>
      </c>
      <c r="BD6" s="181" t="s">
        <v>323</v>
      </c>
      <c r="BE6" s="181" t="s">
        <v>327</v>
      </c>
      <c r="BF6" s="181" t="s">
        <v>314</v>
      </c>
      <c r="BG6" s="181" t="s">
        <v>315</v>
      </c>
      <c r="BH6" s="659"/>
    </row>
    <row r="7" spans="1:60" s="341" customFormat="1" x14ac:dyDescent="0.2">
      <c r="A7" s="338">
        <v>1</v>
      </c>
      <c r="B7" s="200" t="s">
        <v>31</v>
      </c>
      <c r="C7" s="201">
        <v>5</v>
      </c>
      <c r="D7" s="214">
        <v>3</v>
      </c>
      <c r="E7" s="214">
        <v>4</v>
      </c>
      <c r="F7" s="214">
        <v>3</v>
      </c>
      <c r="G7" s="214">
        <v>2</v>
      </c>
      <c r="H7" s="214">
        <v>1</v>
      </c>
      <c r="I7" s="214">
        <v>2</v>
      </c>
      <c r="J7" s="214">
        <v>1</v>
      </c>
      <c r="K7" s="214">
        <v>1</v>
      </c>
      <c r="L7" s="215">
        <v>2</v>
      </c>
      <c r="M7" s="215">
        <v>3</v>
      </c>
      <c r="N7" s="215"/>
      <c r="O7" s="216">
        <v>3</v>
      </c>
      <c r="P7" s="216"/>
      <c r="Q7" s="215"/>
      <c r="R7" s="215"/>
      <c r="S7" s="215">
        <v>2</v>
      </c>
      <c r="T7" s="215"/>
      <c r="U7" s="215"/>
      <c r="V7" s="339">
        <f>SUM(C7:U7)</f>
        <v>32</v>
      </c>
      <c r="W7" s="217">
        <v>3</v>
      </c>
      <c r="X7" s="217">
        <v>4</v>
      </c>
      <c r="Y7" s="217">
        <v>3</v>
      </c>
      <c r="Z7" s="217">
        <v>2</v>
      </c>
      <c r="AA7" s="217">
        <v>1</v>
      </c>
      <c r="AB7" s="217">
        <v>1</v>
      </c>
      <c r="AC7" s="217">
        <v>1</v>
      </c>
      <c r="AD7" s="217">
        <v>1</v>
      </c>
      <c r="AE7" s="216">
        <v>2</v>
      </c>
      <c r="AF7" s="216">
        <v>3</v>
      </c>
      <c r="AG7" s="216"/>
      <c r="AH7" s="216">
        <v>3</v>
      </c>
      <c r="AI7" s="216"/>
      <c r="AJ7" s="216"/>
      <c r="AK7" s="216"/>
      <c r="AL7" s="216">
        <v>2</v>
      </c>
      <c r="AM7" s="216"/>
      <c r="AN7" s="216"/>
      <c r="AO7" s="340">
        <f>SUM(W7:AN7)+C7</f>
        <v>31</v>
      </c>
      <c r="AP7" s="211">
        <v>4</v>
      </c>
      <c r="AQ7" s="211" t="s">
        <v>369</v>
      </c>
      <c r="AR7" s="211">
        <v>4</v>
      </c>
      <c r="AS7" s="211">
        <v>2</v>
      </c>
      <c r="AT7" s="211">
        <v>2</v>
      </c>
      <c r="AU7" s="211">
        <v>3</v>
      </c>
      <c r="AV7" s="211">
        <v>2</v>
      </c>
      <c r="AW7" s="211">
        <v>2</v>
      </c>
      <c r="AX7" s="211">
        <v>3</v>
      </c>
      <c r="AY7" s="211" t="s">
        <v>370</v>
      </c>
      <c r="AZ7" s="211"/>
      <c r="BA7" s="211" t="s">
        <v>370</v>
      </c>
      <c r="BB7" s="211">
        <v>3</v>
      </c>
      <c r="BC7" s="211"/>
      <c r="BD7" s="211"/>
      <c r="BE7" s="211">
        <v>3</v>
      </c>
      <c r="BF7" s="211"/>
      <c r="BG7" s="211"/>
      <c r="BH7" s="218">
        <v>0</v>
      </c>
    </row>
    <row r="8" spans="1:60" s="341" customFormat="1" x14ac:dyDescent="0.2">
      <c r="A8" s="338">
        <v>2</v>
      </c>
      <c r="B8" s="200" t="s">
        <v>21</v>
      </c>
      <c r="C8" s="201">
        <v>5</v>
      </c>
      <c r="D8" s="214">
        <v>3</v>
      </c>
      <c r="E8" s="214">
        <v>4</v>
      </c>
      <c r="F8" s="214">
        <v>3</v>
      </c>
      <c r="G8" s="214">
        <v>2</v>
      </c>
      <c r="H8" s="214">
        <v>1</v>
      </c>
      <c r="I8" s="214">
        <v>3</v>
      </c>
      <c r="J8" s="214">
        <v>1</v>
      </c>
      <c r="K8" s="214">
        <v>1</v>
      </c>
      <c r="L8" s="215">
        <v>2</v>
      </c>
      <c r="M8" s="215"/>
      <c r="N8" s="215"/>
      <c r="O8" s="216">
        <v>3</v>
      </c>
      <c r="P8" s="216">
        <v>2</v>
      </c>
      <c r="Q8" s="215"/>
      <c r="R8" s="215">
        <v>2</v>
      </c>
      <c r="S8" s="215"/>
      <c r="T8" s="215"/>
      <c r="U8" s="215"/>
      <c r="V8" s="339">
        <f t="shared" ref="V8:V14" si="0">SUM(C8:U8)</f>
        <v>32</v>
      </c>
      <c r="W8" s="217">
        <v>3</v>
      </c>
      <c r="X8" s="217">
        <v>4</v>
      </c>
      <c r="Y8" s="217">
        <v>3</v>
      </c>
      <c r="Z8" s="217">
        <v>2</v>
      </c>
      <c r="AA8" s="217">
        <v>1</v>
      </c>
      <c r="AB8" s="217">
        <v>2</v>
      </c>
      <c r="AC8" s="217">
        <v>1</v>
      </c>
      <c r="AD8" s="217">
        <v>1</v>
      </c>
      <c r="AE8" s="216">
        <v>2</v>
      </c>
      <c r="AF8" s="216"/>
      <c r="AG8" s="216"/>
      <c r="AH8" s="216">
        <v>3</v>
      </c>
      <c r="AI8" s="216">
        <v>2</v>
      </c>
      <c r="AJ8" s="216"/>
      <c r="AK8" s="216">
        <v>2</v>
      </c>
      <c r="AL8" s="216"/>
      <c r="AM8" s="216"/>
      <c r="AN8" s="216"/>
      <c r="AO8" s="340">
        <f t="shared" ref="AO8:AO36" si="1">SUM(W8:AN8)+C8</f>
        <v>31</v>
      </c>
      <c r="AP8" s="211">
        <v>4</v>
      </c>
      <c r="AQ8" s="211" t="s">
        <v>369</v>
      </c>
      <c r="AR8" s="211">
        <v>4</v>
      </c>
      <c r="AS8" s="211">
        <v>2</v>
      </c>
      <c r="AT8" s="211">
        <v>2</v>
      </c>
      <c r="AU8" s="211" t="s">
        <v>370</v>
      </c>
      <c r="AV8" s="211">
        <v>2</v>
      </c>
      <c r="AW8" s="211">
        <v>2</v>
      </c>
      <c r="AX8" s="211">
        <v>3</v>
      </c>
      <c r="AY8" s="211"/>
      <c r="AZ8" s="211"/>
      <c r="BA8" s="211" t="s">
        <v>370</v>
      </c>
      <c r="BB8" s="211">
        <v>3</v>
      </c>
      <c r="BC8" s="211"/>
      <c r="BD8" s="211">
        <v>3</v>
      </c>
      <c r="BE8" s="211"/>
      <c r="BF8" s="211"/>
      <c r="BG8" s="211"/>
      <c r="BH8" s="218">
        <v>0</v>
      </c>
    </row>
    <row r="9" spans="1:60" s="341" customFormat="1" x14ac:dyDescent="0.2">
      <c r="A9" s="338">
        <v>3</v>
      </c>
      <c r="B9" s="200" t="s">
        <v>148</v>
      </c>
      <c r="C9" s="201">
        <v>5</v>
      </c>
      <c r="D9" s="214">
        <v>3</v>
      </c>
      <c r="E9" s="214">
        <v>4</v>
      </c>
      <c r="F9" s="214">
        <v>3</v>
      </c>
      <c r="G9" s="214">
        <v>2</v>
      </c>
      <c r="H9" s="214">
        <v>1</v>
      </c>
      <c r="I9" s="214">
        <v>2</v>
      </c>
      <c r="J9" s="214">
        <v>1</v>
      </c>
      <c r="K9" s="214">
        <v>1</v>
      </c>
      <c r="L9" s="215">
        <v>3</v>
      </c>
      <c r="M9" s="215"/>
      <c r="N9" s="215"/>
      <c r="O9" s="216">
        <v>3</v>
      </c>
      <c r="P9" s="216">
        <v>2</v>
      </c>
      <c r="Q9" s="215">
        <v>2</v>
      </c>
      <c r="R9" s="215"/>
      <c r="S9" s="215"/>
      <c r="T9" s="215"/>
      <c r="U9" s="215"/>
      <c r="V9" s="339">
        <f t="shared" si="0"/>
        <v>32</v>
      </c>
      <c r="W9" s="217">
        <v>3</v>
      </c>
      <c r="X9" s="217">
        <v>4</v>
      </c>
      <c r="Y9" s="217">
        <v>3</v>
      </c>
      <c r="Z9" s="217">
        <v>2</v>
      </c>
      <c r="AA9" s="217">
        <v>1</v>
      </c>
      <c r="AB9" s="217">
        <v>1</v>
      </c>
      <c r="AC9" s="217">
        <v>1</v>
      </c>
      <c r="AD9" s="217">
        <v>1</v>
      </c>
      <c r="AE9" s="216">
        <v>3</v>
      </c>
      <c r="AF9" s="216"/>
      <c r="AG9" s="216"/>
      <c r="AH9" s="216">
        <v>3</v>
      </c>
      <c r="AI9" s="216">
        <v>2</v>
      </c>
      <c r="AJ9" s="216">
        <v>2</v>
      </c>
      <c r="AK9" s="216"/>
      <c r="AL9" s="216"/>
      <c r="AM9" s="216"/>
      <c r="AN9" s="216"/>
      <c r="AO9" s="340">
        <f t="shared" si="1"/>
        <v>31</v>
      </c>
      <c r="AP9" s="211">
        <v>4</v>
      </c>
      <c r="AQ9" s="211" t="s">
        <v>369</v>
      </c>
      <c r="AR9" s="211">
        <v>4</v>
      </c>
      <c r="AS9" s="211">
        <v>2</v>
      </c>
      <c r="AT9" s="211">
        <v>2</v>
      </c>
      <c r="AU9" s="211">
        <v>3</v>
      </c>
      <c r="AV9" s="211">
        <v>2</v>
      </c>
      <c r="AW9" s="211">
        <v>2</v>
      </c>
      <c r="AX9" s="211" t="s">
        <v>370</v>
      </c>
      <c r="AY9" s="211"/>
      <c r="AZ9" s="211"/>
      <c r="BA9" s="211" t="s">
        <v>370</v>
      </c>
      <c r="BB9" s="211">
        <v>3</v>
      </c>
      <c r="BC9" s="211">
        <v>3</v>
      </c>
      <c r="BD9" s="211"/>
      <c r="BE9" s="211"/>
      <c r="BF9" s="211"/>
      <c r="BG9" s="211"/>
      <c r="BH9" s="218">
        <v>0</v>
      </c>
    </row>
    <row r="10" spans="1:60" s="341" customFormat="1" x14ac:dyDescent="0.2">
      <c r="A10" s="338">
        <v>4</v>
      </c>
      <c r="B10" s="200" t="s">
        <v>121</v>
      </c>
      <c r="C10" s="201">
        <v>5</v>
      </c>
      <c r="D10" s="214">
        <v>3</v>
      </c>
      <c r="E10" s="214">
        <v>4</v>
      </c>
      <c r="F10" s="214">
        <v>3</v>
      </c>
      <c r="G10" s="214">
        <v>2</v>
      </c>
      <c r="H10" s="214">
        <v>1</v>
      </c>
      <c r="I10" s="214">
        <v>2</v>
      </c>
      <c r="J10" s="214">
        <v>1</v>
      </c>
      <c r="K10" s="214">
        <v>1</v>
      </c>
      <c r="L10" s="215">
        <v>3</v>
      </c>
      <c r="M10" s="215"/>
      <c r="N10" s="215"/>
      <c r="O10" s="216">
        <v>3</v>
      </c>
      <c r="P10" s="216"/>
      <c r="Q10" s="215">
        <v>2</v>
      </c>
      <c r="R10" s="215">
        <v>2</v>
      </c>
      <c r="S10" s="215"/>
      <c r="T10" s="215"/>
      <c r="U10" s="215"/>
      <c r="V10" s="339">
        <f t="shared" si="0"/>
        <v>32</v>
      </c>
      <c r="W10" s="217">
        <v>3</v>
      </c>
      <c r="X10" s="217">
        <v>4</v>
      </c>
      <c r="Y10" s="217">
        <v>3</v>
      </c>
      <c r="Z10" s="217">
        <v>2</v>
      </c>
      <c r="AA10" s="217">
        <v>1</v>
      </c>
      <c r="AB10" s="217">
        <v>1</v>
      </c>
      <c r="AC10" s="217">
        <v>1</v>
      </c>
      <c r="AD10" s="217">
        <v>1</v>
      </c>
      <c r="AE10" s="216">
        <v>3</v>
      </c>
      <c r="AF10" s="216"/>
      <c r="AG10" s="216"/>
      <c r="AH10" s="216">
        <v>3</v>
      </c>
      <c r="AI10" s="216"/>
      <c r="AJ10" s="216">
        <v>2</v>
      </c>
      <c r="AK10" s="216">
        <v>2</v>
      </c>
      <c r="AL10" s="216"/>
      <c r="AM10" s="216"/>
      <c r="AN10" s="216"/>
      <c r="AO10" s="340">
        <f t="shared" si="1"/>
        <v>31</v>
      </c>
      <c r="AP10" s="211">
        <v>4</v>
      </c>
      <c r="AQ10" s="211" t="s">
        <v>369</v>
      </c>
      <c r="AR10" s="211">
        <v>4</v>
      </c>
      <c r="AS10" s="211">
        <v>2</v>
      </c>
      <c r="AT10" s="211">
        <v>2</v>
      </c>
      <c r="AU10" s="211">
        <v>3</v>
      </c>
      <c r="AV10" s="211">
        <v>2</v>
      </c>
      <c r="AW10" s="211">
        <v>2</v>
      </c>
      <c r="AX10" s="211" t="s">
        <v>370</v>
      </c>
      <c r="AY10" s="211"/>
      <c r="AZ10" s="211"/>
      <c r="BA10" s="211" t="s">
        <v>370</v>
      </c>
      <c r="BB10" s="211"/>
      <c r="BC10" s="211">
        <v>3</v>
      </c>
      <c r="BD10" s="211">
        <v>3</v>
      </c>
      <c r="BE10" s="211"/>
      <c r="BF10" s="211"/>
      <c r="BG10" s="211"/>
      <c r="BH10" s="218">
        <v>0</v>
      </c>
    </row>
    <row r="11" spans="1:60" s="341" customFormat="1" x14ac:dyDescent="0.2">
      <c r="A11" s="338">
        <v>5</v>
      </c>
      <c r="B11" s="200" t="s">
        <v>116</v>
      </c>
      <c r="C11" s="201">
        <v>5</v>
      </c>
      <c r="D11" s="214">
        <v>4</v>
      </c>
      <c r="E11" s="214">
        <v>4</v>
      </c>
      <c r="F11" s="214">
        <v>3</v>
      </c>
      <c r="G11" s="214">
        <v>2</v>
      </c>
      <c r="H11" s="214">
        <v>1</v>
      </c>
      <c r="I11" s="214">
        <v>2</v>
      </c>
      <c r="J11" s="214">
        <v>1</v>
      </c>
      <c r="K11" s="214">
        <v>1</v>
      </c>
      <c r="L11" s="215"/>
      <c r="M11" s="215">
        <v>3</v>
      </c>
      <c r="N11" s="215"/>
      <c r="O11" s="216"/>
      <c r="P11" s="216">
        <v>2</v>
      </c>
      <c r="Q11" s="215">
        <v>2</v>
      </c>
      <c r="R11" s="215">
        <v>2</v>
      </c>
      <c r="S11" s="215"/>
      <c r="T11" s="215"/>
      <c r="U11" s="215"/>
      <c r="V11" s="339">
        <f t="shared" si="0"/>
        <v>32</v>
      </c>
      <c r="W11" s="217">
        <v>4</v>
      </c>
      <c r="X11" s="217">
        <v>4</v>
      </c>
      <c r="Y11" s="217">
        <v>3</v>
      </c>
      <c r="Z11" s="217">
        <v>2</v>
      </c>
      <c r="AA11" s="217">
        <v>1</v>
      </c>
      <c r="AB11" s="217">
        <v>1</v>
      </c>
      <c r="AC11" s="217">
        <v>1</v>
      </c>
      <c r="AD11" s="217">
        <v>1</v>
      </c>
      <c r="AE11" s="216"/>
      <c r="AF11" s="216">
        <v>3</v>
      </c>
      <c r="AG11" s="216"/>
      <c r="AH11" s="216"/>
      <c r="AI11" s="216">
        <v>2</v>
      </c>
      <c r="AJ11" s="216">
        <v>2</v>
      </c>
      <c r="AK11" s="216">
        <v>2</v>
      </c>
      <c r="AL11" s="216"/>
      <c r="AM11" s="216"/>
      <c r="AN11" s="216"/>
      <c r="AO11" s="340">
        <f t="shared" si="1"/>
        <v>31</v>
      </c>
      <c r="AP11" s="211" t="s">
        <v>369</v>
      </c>
      <c r="AQ11" s="211" t="s">
        <v>369</v>
      </c>
      <c r="AR11" s="211">
        <v>4</v>
      </c>
      <c r="AS11" s="211">
        <v>2</v>
      </c>
      <c r="AT11" s="211">
        <v>2</v>
      </c>
      <c r="AU11" s="211">
        <v>3</v>
      </c>
      <c r="AV11" s="211">
        <v>2</v>
      </c>
      <c r="AW11" s="211">
        <v>2</v>
      </c>
      <c r="AX11" s="211">
        <v>3</v>
      </c>
      <c r="AY11" s="211" t="s">
        <v>370</v>
      </c>
      <c r="AZ11" s="211"/>
      <c r="BA11" s="211"/>
      <c r="BB11" s="211">
        <v>3</v>
      </c>
      <c r="BC11" s="211">
        <v>3</v>
      </c>
      <c r="BD11" s="211">
        <v>3</v>
      </c>
      <c r="BE11" s="211"/>
      <c r="BF11" s="211"/>
      <c r="BG11" s="211"/>
      <c r="BH11" s="218">
        <v>0</v>
      </c>
    </row>
    <row r="12" spans="1:60" s="341" customFormat="1" x14ac:dyDescent="0.2">
      <c r="A12" s="338">
        <v>6</v>
      </c>
      <c r="B12" s="200" t="s">
        <v>196</v>
      </c>
      <c r="C12" s="201">
        <v>5</v>
      </c>
      <c r="D12" s="214">
        <v>3</v>
      </c>
      <c r="E12" s="214">
        <v>4</v>
      </c>
      <c r="F12" s="214">
        <v>3</v>
      </c>
      <c r="G12" s="214">
        <v>2</v>
      </c>
      <c r="H12" s="214">
        <v>1</v>
      </c>
      <c r="I12" s="214">
        <v>2</v>
      </c>
      <c r="J12" s="214">
        <v>1</v>
      </c>
      <c r="K12" s="214">
        <v>1</v>
      </c>
      <c r="L12" s="215">
        <v>2</v>
      </c>
      <c r="M12" s="215">
        <v>3</v>
      </c>
      <c r="N12" s="215">
        <v>3</v>
      </c>
      <c r="O12" s="216"/>
      <c r="P12" s="216"/>
      <c r="Q12" s="215"/>
      <c r="R12" s="215">
        <v>2</v>
      </c>
      <c r="S12" s="215"/>
      <c r="T12" s="215"/>
      <c r="U12" s="215"/>
      <c r="V12" s="339">
        <f t="shared" ref="V12:V13" si="2">SUM(C12:U12)</f>
        <v>32</v>
      </c>
      <c r="W12" s="217">
        <v>3</v>
      </c>
      <c r="X12" s="217">
        <v>4</v>
      </c>
      <c r="Y12" s="217">
        <v>3</v>
      </c>
      <c r="Z12" s="217">
        <v>2</v>
      </c>
      <c r="AA12" s="217">
        <v>1</v>
      </c>
      <c r="AB12" s="217">
        <v>1</v>
      </c>
      <c r="AC12" s="217">
        <v>1</v>
      </c>
      <c r="AD12" s="217">
        <v>1</v>
      </c>
      <c r="AE12" s="216">
        <v>2</v>
      </c>
      <c r="AF12" s="216">
        <v>3</v>
      </c>
      <c r="AG12" s="216">
        <v>3</v>
      </c>
      <c r="AH12" s="216"/>
      <c r="AI12" s="216"/>
      <c r="AJ12" s="216"/>
      <c r="AK12" s="216">
        <v>2</v>
      </c>
      <c r="AL12" s="216"/>
      <c r="AM12" s="216"/>
      <c r="AN12" s="216"/>
      <c r="AO12" s="340">
        <f t="shared" ref="AO12:AO13" si="3">SUM(W12:AN12)+C12</f>
        <v>31</v>
      </c>
      <c r="AP12" s="211">
        <v>4</v>
      </c>
      <c r="AQ12" s="211" t="s">
        <v>369</v>
      </c>
      <c r="AR12" s="211">
        <v>4</v>
      </c>
      <c r="AS12" s="211">
        <v>2</v>
      </c>
      <c r="AT12" s="211">
        <v>2</v>
      </c>
      <c r="AU12" s="211">
        <v>3</v>
      </c>
      <c r="AV12" s="211">
        <v>2</v>
      </c>
      <c r="AW12" s="211">
        <v>2</v>
      </c>
      <c r="AX12" s="211">
        <v>3</v>
      </c>
      <c r="AY12" s="211" t="s">
        <v>370</v>
      </c>
      <c r="AZ12" s="211" t="s">
        <v>370</v>
      </c>
      <c r="BA12" s="211"/>
      <c r="BB12" s="211"/>
      <c r="BC12" s="211"/>
      <c r="BD12" s="211">
        <v>3</v>
      </c>
      <c r="BE12" s="211"/>
      <c r="BF12" s="211"/>
      <c r="BG12" s="211"/>
      <c r="BH12" s="218">
        <v>0</v>
      </c>
    </row>
    <row r="13" spans="1:60" s="341" customFormat="1" x14ac:dyDescent="0.2">
      <c r="A13" s="338">
        <v>7</v>
      </c>
      <c r="B13" s="200" t="s">
        <v>197</v>
      </c>
      <c r="C13" s="201">
        <v>5</v>
      </c>
      <c r="D13" s="214">
        <v>3</v>
      </c>
      <c r="E13" s="214">
        <v>4</v>
      </c>
      <c r="F13" s="214">
        <v>3</v>
      </c>
      <c r="G13" s="214">
        <v>2</v>
      </c>
      <c r="H13" s="214">
        <v>1</v>
      </c>
      <c r="I13" s="214">
        <v>2</v>
      </c>
      <c r="J13" s="214">
        <v>1</v>
      </c>
      <c r="K13" s="214">
        <v>1</v>
      </c>
      <c r="L13" s="215">
        <v>2</v>
      </c>
      <c r="M13" s="215">
        <v>3</v>
      </c>
      <c r="N13" s="215">
        <v>3</v>
      </c>
      <c r="O13" s="216"/>
      <c r="P13" s="216"/>
      <c r="Q13" s="215">
        <v>2</v>
      </c>
      <c r="R13" s="215"/>
      <c r="S13" s="215"/>
      <c r="T13" s="215"/>
      <c r="U13" s="215"/>
      <c r="V13" s="339">
        <f t="shared" si="2"/>
        <v>32</v>
      </c>
      <c r="W13" s="217">
        <v>3</v>
      </c>
      <c r="X13" s="217">
        <v>4</v>
      </c>
      <c r="Y13" s="217">
        <v>3</v>
      </c>
      <c r="Z13" s="217">
        <v>2</v>
      </c>
      <c r="AA13" s="217">
        <v>1</v>
      </c>
      <c r="AB13" s="217">
        <v>1</v>
      </c>
      <c r="AC13" s="217">
        <v>1</v>
      </c>
      <c r="AD13" s="217">
        <v>1</v>
      </c>
      <c r="AE13" s="216">
        <v>2</v>
      </c>
      <c r="AF13" s="216">
        <v>3</v>
      </c>
      <c r="AG13" s="216">
        <v>3</v>
      </c>
      <c r="AH13" s="216"/>
      <c r="AI13" s="216"/>
      <c r="AJ13" s="216">
        <v>2</v>
      </c>
      <c r="AK13" s="216"/>
      <c r="AL13" s="216"/>
      <c r="AM13" s="216"/>
      <c r="AN13" s="216"/>
      <c r="AO13" s="340">
        <f t="shared" si="3"/>
        <v>31</v>
      </c>
      <c r="AP13" s="211">
        <v>4</v>
      </c>
      <c r="AQ13" s="211" t="s">
        <v>369</v>
      </c>
      <c r="AR13" s="211">
        <v>4</v>
      </c>
      <c r="AS13" s="211">
        <v>2</v>
      </c>
      <c r="AT13" s="211">
        <v>2</v>
      </c>
      <c r="AU13" s="211">
        <v>3</v>
      </c>
      <c r="AV13" s="211">
        <v>2</v>
      </c>
      <c r="AW13" s="211">
        <v>2</v>
      </c>
      <c r="AX13" s="211">
        <v>3</v>
      </c>
      <c r="AY13" s="211" t="s">
        <v>370</v>
      </c>
      <c r="AZ13" s="211" t="s">
        <v>370</v>
      </c>
      <c r="BA13" s="211"/>
      <c r="BB13" s="211"/>
      <c r="BC13" s="211">
        <v>3</v>
      </c>
      <c r="BD13" s="211"/>
      <c r="BE13" s="211"/>
      <c r="BF13" s="211"/>
      <c r="BG13" s="211"/>
      <c r="BH13" s="218">
        <v>0</v>
      </c>
    </row>
    <row r="14" spans="1:60" s="341" customFormat="1" x14ac:dyDescent="0.2">
      <c r="A14" s="338">
        <v>8</v>
      </c>
      <c r="B14" s="200" t="s">
        <v>198</v>
      </c>
      <c r="C14" s="201">
        <v>5</v>
      </c>
      <c r="D14" s="214">
        <v>3</v>
      </c>
      <c r="E14" s="214">
        <v>4</v>
      </c>
      <c r="F14" s="214">
        <v>3</v>
      </c>
      <c r="G14" s="214">
        <v>2</v>
      </c>
      <c r="H14" s="214">
        <v>1</v>
      </c>
      <c r="I14" s="214">
        <v>2</v>
      </c>
      <c r="J14" s="214">
        <v>1</v>
      </c>
      <c r="K14" s="214">
        <v>1</v>
      </c>
      <c r="L14" s="215">
        <v>2</v>
      </c>
      <c r="M14" s="215">
        <v>3</v>
      </c>
      <c r="N14" s="215">
        <v>3</v>
      </c>
      <c r="O14" s="216"/>
      <c r="P14" s="216"/>
      <c r="Q14" s="215">
        <v>2</v>
      </c>
      <c r="R14" s="215"/>
      <c r="S14" s="215"/>
      <c r="T14" s="215"/>
      <c r="U14" s="215"/>
      <c r="V14" s="339">
        <f t="shared" si="0"/>
        <v>32</v>
      </c>
      <c r="W14" s="217">
        <v>3</v>
      </c>
      <c r="X14" s="217">
        <v>4</v>
      </c>
      <c r="Y14" s="217">
        <v>3</v>
      </c>
      <c r="Z14" s="217">
        <v>2</v>
      </c>
      <c r="AA14" s="217">
        <v>1</v>
      </c>
      <c r="AB14" s="217">
        <v>1</v>
      </c>
      <c r="AC14" s="217">
        <v>1</v>
      </c>
      <c r="AD14" s="217">
        <v>1</v>
      </c>
      <c r="AE14" s="216">
        <v>2</v>
      </c>
      <c r="AF14" s="216">
        <v>3</v>
      </c>
      <c r="AG14" s="216">
        <v>3</v>
      </c>
      <c r="AH14" s="216"/>
      <c r="AI14" s="216"/>
      <c r="AJ14" s="216">
        <v>2</v>
      </c>
      <c r="AK14" s="216"/>
      <c r="AL14" s="216"/>
      <c r="AM14" s="216"/>
      <c r="AN14" s="216"/>
      <c r="AO14" s="340">
        <f t="shared" si="1"/>
        <v>31</v>
      </c>
      <c r="AP14" s="211">
        <v>4</v>
      </c>
      <c r="AQ14" s="211" t="s">
        <v>369</v>
      </c>
      <c r="AR14" s="211">
        <v>4</v>
      </c>
      <c r="AS14" s="211">
        <v>2</v>
      </c>
      <c r="AT14" s="211">
        <v>2</v>
      </c>
      <c r="AU14" s="211">
        <v>3</v>
      </c>
      <c r="AV14" s="211">
        <v>2</v>
      </c>
      <c r="AW14" s="211">
        <v>2</v>
      </c>
      <c r="AX14" s="211">
        <v>3</v>
      </c>
      <c r="AY14" s="211" t="s">
        <v>370</v>
      </c>
      <c r="AZ14" s="211" t="s">
        <v>370</v>
      </c>
      <c r="BA14" s="211"/>
      <c r="BB14" s="211"/>
      <c r="BC14" s="211">
        <v>3</v>
      </c>
      <c r="BD14" s="211"/>
      <c r="BE14" s="211"/>
      <c r="BF14" s="211"/>
      <c r="BG14" s="211"/>
      <c r="BH14" s="218">
        <v>0</v>
      </c>
    </row>
    <row r="15" spans="1:60" s="45" customFormat="1" x14ac:dyDescent="0.2">
      <c r="A15" s="38">
        <v>9</v>
      </c>
      <c r="B15" s="39" t="s">
        <v>18</v>
      </c>
      <c r="C15" s="110">
        <v>5</v>
      </c>
      <c r="D15" s="204">
        <v>3</v>
      </c>
      <c r="E15" s="204">
        <v>4</v>
      </c>
      <c r="F15" s="204">
        <v>3</v>
      </c>
      <c r="G15" s="204">
        <v>2</v>
      </c>
      <c r="H15" s="204">
        <v>1</v>
      </c>
      <c r="I15" s="204">
        <v>2</v>
      </c>
      <c r="J15" s="204">
        <v>1</v>
      </c>
      <c r="K15" s="204">
        <v>1</v>
      </c>
      <c r="L15" s="205">
        <v>2</v>
      </c>
      <c r="M15" s="205"/>
      <c r="N15" s="205"/>
      <c r="O15" s="206">
        <v>3</v>
      </c>
      <c r="P15" s="206">
        <v>2</v>
      </c>
      <c r="Q15" s="205"/>
      <c r="R15" s="205">
        <v>2</v>
      </c>
      <c r="S15" s="205"/>
      <c r="T15" s="205"/>
      <c r="U15" s="205"/>
      <c r="V15" s="207">
        <f>SUM(C15:U15)</f>
        <v>31</v>
      </c>
      <c r="W15" s="208">
        <v>3</v>
      </c>
      <c r="X15" s="208">
        <v>4</v>
      </c>
      <c r="Y15" s="208">
        <v>3</v>
      </c>
      <c r="Z15" s="208">
        <v>2</v>
      </c>
      <c r="AA15" s="208">
        <v>1</v>
      </c>
      <c r="AB15" s="208">
        <v>3</v>
      </c>
      <c r="AC15" s="208">
        <v>1</v>
      </c>
      <c r="AD15" s="208">
        <v>1</v>
      </c>
      <c r="AE15" s="206">
        <v>2</v>
      </c>
      <c r="AF15" s="206"/>
      <c r="AG15" s="206"/>
      <c r="AH15" s="206">
        <v>3</v>
      </c>
      <c r="AI15" s="206">
        <v>2</v>
      </c>
      <c r="AJ15" s="206"/>
      <c r="AK15" s="206">
        <v>2</v>
      </c>
      <c r="AL15" s="206"/>
      <c r="AM15" s="206"/>
      <c r="AN15" s="206"/>
      <c r="AO15" s="209">
        <f>SUM(W15:AN15)+C15</f>
        <v>32</v>
      </c>
      <c r="AP15" s="210">
        <v>4</v>
      </c>
      <c r="AQ15" s="210" t="s">
        <v>369</v>
      </c>
      <c r="AR15" s="210">
        <v>4</v>
      </c>
      <c r="AS15" s="210">
        <v>2</v>
      </c>
      <c r="AT15" s="210">
        <v>2</v>
      </c>
      <c r="AU15" s="210" t="s">
        <v>370</v>
      </c>
      <c r="AV15" s="210">
        <v>2</v>
      </c>
      <c r="AW15" s="210">
        <v>2</v>
      </c>
      <c r="AX15" s="210">
        <v>3</v>
      </c>
      <c r="AY15" s="210"/>
      <c r="AZ15" s="210"/>
      <c r="BA15" s="210" t="s">
        <v>370</v>
      </c>
      <c r="BB15" s="210">
        <v>3</v>
      </c>
      <c r="BC15" s="210"/>
      <c r="BD15" s="210">
        <v>3</v>
      </c>
      <c r="BE15" s="211"/>
      <c r="BF15" s="212"/>
      <c r="BG15" s="212"/>
      <c r="BH15" s="213">
        <v>0</v>
      </c>
    </row>
    <row r="16" spans="1:60" s="45" customFormat="1" x14ac:dyDescent="0.2">
      <c r="A16" s="38">
        <v>10</v>
      </c>
      <c r="B16" s="39" t="s">
        <v>24</v>
      </c>
      <c r="C16" s="110">
        <v>5</v>
      </c>
      <c r="D16" s="204">
        <v>3</v>
      </c>
      <c r="E16" s="204">
        <v>4</v>
      </c>
      <c r="F16" s="204">
        <v>3</v>
      </c>
      <c r="G16" s="204">
        <v>2</v>
      </c>
      <c r="H16" s="204">
        <v>1</v>
      </c>
      <c r="I16" s="204">
        <v>1</v>
      </c>
      <c r="J16" s="204">
        <v>1</v>
      </c>
      <c r="K16" s="204">
        <v>1</v>
      </c>
      <c r="L16" s="205">
        <v>3</v>
      </c>
      <c r="M16" s="205"/>
      <c r="N16" s="205"/>
      <c r="O16" s="206">
        <v>3</v>
      </c>
      <c r="P16" s="206">
        <v>2</v>
      </c>
      <c r="Q16" s="205">
        <v>2</v>
      </c>
      <c r="R16" s="205"/>
      <c r="S16" s="205"/>
      <c r="T16" s="205"/>
      <c r="U16" s="205"/>
      <c r="V16" s="207">
        <f t="shared" ref="V16:V34" si="4">SUM(C16:U16)</f>
        <v>31</v>
      </c>
      <c r="W16" s="208">
        <v>3</v>
      </c>
      <c r="X16" s="208">
        <v>4</v>
      </c>
      <c r="Y16" s="208">
        <v>3</v>
      </c>
      <c r="Z16" s="208">
        <v>2</v>
      </c>
      <c r="AA16" s="208">
        <v>1</v>
      </c>
      <c r="AB16" s="208">
        <v>2</v>
      </c>
      <c r="AC16" s="208">
        <v>1</v>
      </c>
      <c r="AD16" s="208">
        <v>1</v>
      </c>
      <c r="AE16" s="206">
        <v>3</v>
      </c>
      <c r="AF16" s="206"/>
      <c r="AG16" s="206"/>
      <c r="AH16" s="206">
        <v>3</v>
      </c>
      <c r="AI16" s="206">
        <v>2</v>
      </c>
      <c r="AJ16" s="206">
        <v>2</v>
      </c>
      <c r="AK16" s="206"/>
      <c r="AL16" s="206"/>
      <c r="AM16" s="206"/>
      <c r="AN16" s="206"/>
      <c r="AO16" s="209">
        <f t="shared" ref="AO16:AO34" si="5">SUM(W16:AN16)+C16</f>
        <v>32</v>
      </c>
      <c r="AP16" s="210">
        <v>4</v>
      </c>
      <c r="AQ16" s="210" t="s">
        <v>369</v>
      </c>
      <c r="AR16" s="210">
        <v>4</v>
      </c>
      <c r="AS16" s="210">
        <v>2</v>
      </c>
      <c r="AT16" s="210">
        <v>2</v>
      </c>
      <c r="AU16" s="210">
        <v>3</v>
      </c>
      <c r="AV16" s="210">
        <v>2</v>
      </c>
      <c r="AW16" s="210">
        <v>2</v>
      </c>
      <c r="AX16" s="210" t="s">
        <v>370</v>
      </c>
      <c r="AY16" s="210"/>
      <c r="AZ16" s="210"/>
      <c r="BA16" s="210" t="s">
        <v>370</v>
      </c>
      <c r="BB16" s="210">
        <v>3</v>
      </c>
      <c r="BC16" s="210">
        <v>3</v>
      </c>
      <c r="BD16" s="210"/>
      <c r="BE16" s="211"/>
      <c r="BF16" s="212"/>
      <c r="BG16" s="212"/>
      <c r="BH16" s="213">
        <v>0</v>
      </c>
    </row>
    <row r="17" spans="1:60" s="41" customFormat="1" x14ac:dyDescent="0.2">
      <c r="A17" s="38">
        <v>11</v>
      </c>
      <c r="B17" s="39" t="s">
        <v>142</v>
      </c>
      <c r="C17" s="110">
        <v>5</v>
      </c>
      <c r="D17" s="204">
        <v>3</v>
      </c>
      <c r="E17" s="204">
        <v>4</v>
      </c>
      <c r="F17" s="204">
        <v>3</v>
      </c>
      <c r="G17" s="204">
        <v>2</v>
      </c>
      <c r="H17" s="204">
        <v>1</v>
      </c>
      <c r="I17" s="204">
        <v>1</v>
      </c>
      <c r="J17" s="204">
        <v>1</v>
      </c>
      <c r="K17" s="204">
        <v>1</v>
      </c>
      <c r="L17" s="205">
        <v>3</v>
      </c>
      <c r="M17" s="205"/>
      <c r="N17" s="205"/>
      <c r="O17" s="206">
        <v>3</v>
      </c>
      <c r="P17" s="206"/>
      <c r="Q17" s="205">
        <v>2</v>
      </c>
      <c r="R17" s="205">
        <v>2</v>
      </c>
      <c r="S17" s="205"/>
      <c r="T17" s="205"/>
      <c r="U17" s="205"/>
      <c r="V17" s="207">
        <f t="shared" si="4"/>
        <v>31</v>
      </c>
      <c r="W17" s="208">
        <v>3</v>
      </c>
      <c r="X17" s="208">
        <v>4</v>
      </c>
      <c r="Y17" s="208">
        <v>3</v>
      </c>
      <c r="Z17" s="208">
        <v>2</v>
      </c>
      <c r="AA17" s="208">
        <v>1</v>
      </c>
      <c r="AB17" s="208">
        <v>2</v>
      </c>
      <c r="AC17" s="208">
        <v>1</v>
      </c>
      <c r="AD17" s="208">
        <v>1</v>
      </c>
      <c r="AE17" s="206">
        <v>3</v>
      </c>
      <c r="AF17" s="206"/>
      <c r="AG17" s="206"/>
      <c r="AH17" s="206">
        <v>3</v>
      </c>
      <c r="AI17" s="206"/>
      <c r="AJ17" s="206">
        <v>2</v>
      </c>
      <c r="AK17" s="206">
        <v>2</v>
      </c>
      <c r="AL17" s="206"/>
      <c r="AM17" s="206"/>
      <c r="AN17" s="206"/>
      <c r="AO17" s="209">
        <f t="shared" si="5"/>
        <v>32</v>
      </c>
      <c r="AP17" s="210">
        <v>4</v>
      </c>
      <c r="AQ17" s="210" t="s">
        <v>369</v>
      </c>
      <c r="AR17" s="210">
        <v>4</v>
      </c>
      <c r="AS17" s="210">
        <v>2</v>
      </c>
      <c r="AT17" s="210">
        <v>2</v>
      </c>
      <c r="AU17" s="210">
        <v>3</v>
      </c>
      <c r="AV17" s="210">
        <v>2</v>
      </c>
      <c r="AW17" s="210">
        <v>2</v>
      </c>
      <c r="AX17" s="210" t="s">
        <v>370</v>
      </c>
      <c r="AY17" s="210"/>
      <c r="AZ17" s="210"/>
      <c r="BA17" s="210" t="s">
        <v>370</v>
      </c>
      <c r="BB17" s="210"/>
      <c r="BC17" s="210">
        <v>3</v>
      </c>
      <c r="BD17" s="210">
        <v>3</v>
      </c>
      <c r="BE17" s="211"/>
      <c r="BF17" s="212"/>
      <c r="BG17" s="212"/>
      <c r="BH17" s="213">
        <v>0</v>
      </c>
    </row>
    <row r="18" spans="1:60" s="41" customFormat="1" x14ac:dyDescent="0.2">
      <c r="A18" s="38">
        <v>12</v>
      </c>
      <c r="B18" s="39" t="s">
        <v>124</v>
      </c>
      <c r="C18" s="110">
        <v>5</v>
      </c>
      <c r="D18" s="204">
        <v>3</v>
      </c>
      <c r="E18" s="204">
        <v>4</v>
      </c>
      <c r="F18" s="204">
        <v>3</v>
      </c>
      <c r="G18" s="204">
        <v>2</v>
      </c>
      <c r="H18" s="204">
        <v>1</v>
      </c>
      <c r="I18" s="204">
        <v>1</v>
      </c>
      <c r="J18" s="204">
        <v>1</v>
      </c>
      <c r="K18" s="204">
        <v>1</v>
      </c>
      <c r="L18" s="205">
        <v>3</v>
      </c>
      <c r="M18" s="205"/>
      <c r="N18" s="205"/>
      <c r="O18" s="206">
        <v>3</v>
      </c>
      <c r="P18" s="206"/>
      <c r="Q18" s="205">
        <v>2</v>
      </c>
      <c r="R18" s="205">
        <v>2</v>
      </c>
      <c r="S18" s="205"/>
      <c r="T18" s="205"/>
      <c r="U18" s="205"/>
      <c r="V18" s="207">
        <f t="shared" si="4"/>
        <v>31</v>
      </c>
      <c r="W18" s="208">
        <v>3</v>
      </c>
      <c r="X18" s="208">
        <v>4</v>
      </c>
      <c r="Y18" s="208">
        <v>3</v>
      </c>
      <c r="Z18" s="208">
        <v>2</v>
      </c>
      <c r="AA18" s="208">
        <v>1</v>
      </c>
      <c r="AB18" s="208">
        <v>2</v>
      </c>
      <c r="AC18" s="208">
        <v>1</v>
      </c>
      <c r="AD18" s="208">
        <v>1</v>
      </c>
      <c r="AE18" s="206">
        <v>3</v>
      </c>
      <c r="AF18" s="206"/>
      <c r="AG18" s="206"/>
      <c r="AH18" s="206">
        <v>3</v>
      </c>
      <c r="AI18" s="206"/>
      <c r="AJ18" s="206">
        <v>2</v>
      </c>
      <c r="AK18" s="206">
        <v>2</v>
      </c>
      <c r="AL18" s="206"/>
      <c r="AM18" s="206"/>
      <c r="AN18" s="206"/>
      <c r="AO18" s="209">
        <f t="shared" si="5"/>
        <v>32</v>
      </c>
      <c r="AP18" s="210">
        <v>4</v>
      </c>
      <c r="AQ18" s="210" t="s">
        <v>369</v>
      </c>
      <c r="AR18" s="210">
        <v>4</v>
      </c>
      <c r="AS18" s="210">
        <v>2</v>
      </c>
      <c r="AT18" s="210">
        <v>2</v>
      </c>
      <c r="AU18" s="210">
        <v>3</v>
      </c>
      <c r="AV18" s="210">
        <v>2</v>
      </c>
      <c r="AW18" s="210">
        <v>2</v>
      </c>
      <c r="AX18" s="210" t="s">
        <v>370</v>
      </c>
      <c r="AY18" s="210"/>
      <c r="AZ18" s="210"/>
      <c r="BA18" s="210" t="s">
        <v>370</v>
      </c>
      <c r="BB18" s="210"/>
      <c r="BC18" s="210">
        <v>3</v>
      </c>
      <c r="BD18" s="210">
        <v>3</v>
      </c>
      <c r="BE18" s="211"/>
      <c r="BF18" s="212"/>
      <c r="BG18" s="212"/>
      <c r="BH18" s="213">
        <v>0</v>
      </c>
    </row>
    <row r="19" spans="1:60" s="41" customFormat="1" x14ac:dyDescent="0.2">
      <c r="A19" s="38">
        <v>13</v>
      </c>
      <c r="B19" s="39" t="s">
        <v>138</v>
      </c>
      <c r="C19" s="110">
        <v>5</v>
      </c>
      <c r="D19" s="204">
        <v>4</v>
      </c>
      <c r="E19" s="204">
        <v>4</v>
      </c>
      <c r="F19" s="204">
        <v>3</v>
      </c>
      <c r="G19" s="204">
        <v>2</v>
      </c>
      <c r="H19" s="204">
        <v>1</v>
      </c>
      <c r="I19" s="204">
        <v>1</v>
      </c>
      <c r="J19" s="204">
        <v>1</v>
      </c>
      <c r="K19" s="204">
        <v>1</v>
      </c>
      <c r="L19" s="205"/>
      <c r="M19" s="205">
        <v>3</v>
      </c>
      <c r="N19" s="205"/>
      <c r="O19" s="206"/>
      <c r="P19" s="206">
        <v>2</v>
      </c>
      <c r="Q19" s="205">
        <v>2</v>
      </c>
      <c r="R19" s="205">
        <v>2</v>
      </c>
      <c r="S19" s="205"/>
      <c r="T19" s="205"/>
      <c r="U19" s="205"/>
      <c r="V19" s="207">
        <f t="shared" si="4"/>
        <v>31</v>
      </c>
      <c r="W19" s="208">
        <v>4</v>
      </c>
      <c r="X19" s="208">
        <v>4</v>
      </c>
      <c r="Y19" s="208">
        <v>3</v>
      </c>
      <c r="Z19" s="208">
        <v>2</v>
      </c>
      <c r="AA19" s="208">
        <v>1</v>
      </c>
      <c r="AB19" s="208">
        <v>2</v>
      </c>
      <c r="AC19" s="208">
        <v>1</v>
      </c>
      <c r="AD19" s="208">
        <v>1</v>
      </c>
      <c r="AE19" s="206"/>
      <c r="AF19" s="206">
        <v>3</v>
      </c>
      <c r="AG19" s="206"/>
      <c r="AH19" s="206"/>
      <c r="AI19" s="206">
        <v>2</v>
      </c>
      <c r="AJ19" s="206">
        <v>2</v>
      </c>
      <c r="AK19" s="206">
        <v>2</v>
      </c>
      <c r="AL19" s="206"/>
      <c r="AM19" s="206"/>
      <c r="AN19" s="206"/>
      <c r="AO19" s="209">
        <f t="shared" si="5"/>
        <v>32</v>
      </c>
      <c r="AP19" s="210" t="s">
        <v>369</v>
      </c>
      <c r="AQ19" s="210" t="s">
        <v>369</v>
      </c>
      <c r="AR19" s="210">
        <v>4</v>
      </c>
      <c r="AS19" s="210">
        <v>2</v>
      </c>
      <c r="AT19" s="210">
        <v>2</v>
      </c>
      <c r="AU19" s="210">
        <v>3</v>
      </c>
      <c r="AV19" s="210">
        <v>2</v>
      </c>
      <c r="AW19" s="210">
        <v>2</v>
      </c>
      <c r="AX19" s="210">
        <v>3</v>
      </c>
      <c r="AY19" s="210" t="s">
        <v>370</v>
      </c>
      <c r="AZ19" s="210"/>
      <c r="BA19" s="210"/>
      <c r="BB19" s="210">
        <v>3</v>
      </c>
      <c r="BC19" s="210">
        <v>3</v>
      </c>
      <c r="BD19" s="210">
        <v>3</v>
      </c>
      <c r="BE19" s="211"/>
      <c r="BF19" s="212"/>
      <c r="BG19" s="212"/>
      <c r="BH19" s="213">
        <v>0</v>
      </c>
    </row>
    <row r="20" spans="1:60" s="41" customFormat="1" x14ac:dyDescent="0.2">
      <c r="A20" s="38">
        <v>14</v>
      </c>
      <c r="B20" s="39" t="s">
        <v>201</v>
      </c>
      <c r="C20" s="110">
        <v>5</v>
      </c>
      <c r="D20" s="204">
        <v>4</v>
      </c>
      <c r="E20" s="204">
        <v>4</v>
      </c>
      <c r="F20" s="204">
        <v>3</v>
      </c>
      <c r="G20" s="204">
        <v>2</v>
      </c>
      <c r="H20" s="204">
        <v>1</v>
      </c>
      <c r="I20" s="204">
        <v>1</v>
      </c>
      <c r="J20" s="204">
        <v>1</v>
      </c>
      <c r="K20" s="204">
        <v>1</v>
      </c>
      <c r="L20" s="205"/>
      <c r="M20" s="205">
        <v>3</v>
      </c>
      <c r="N20" s="205"/>
      <c r="O20" s="206"/>
      <c r="P20" s="206">
        <v>2</v>
      </c>
      <c r="Q20" s="205">
        <v>2</v>
      </c>
      <c r="R20" s="205">
        <v>2</v>
      </c>
      <c r="S20" s="205"/>
      <c r="T20" s="205"/>
      <c r="U20" s="205"/>
      <c r="V20" s="207">
        <f t="shared" si="4"/>
        <v>31</v>
      </c>
      <c r="W20" s="208">
        <v>4</v>
      </c>
      <c r="X20" s="208">
        <v>4</v>
      </c>
      <c r="Y20" s="208">
        <v>3</v>
      </c>
      <c r="Z20" s="208">
        <v>2</v>
      </c>
      <c r="AA20" s="208">
        <v>1</v>
      </c>
      <c r="AB20" s="208">
        <v>2</v>
      </c>
      <c r="AC20" s="208">
        <v>1</v>
      </c>
      <c r="AD20" s="208">
        <v>1</v>
      </c>
      <c r="AE20" s="206"/>
      <c r="AF20" s="206">
        <v>3</v>
      </c>
      <c r="AG20" s="206"/>
      <c r="AH20" s="206"/>
      <c r="AI20" s="206">
        <v>2</v>
      </c>
      <c r="AJ20" s="206">
        <v>2</v>
      </c>
      <c r="AK20" s="206">
        <v>2</v>
      </c>
      <c r="AL20" s="206"/>
      <c r="AM20" s="206"/>
      <c r="AN20" s="206"/>
      <c r="AO20" s="209">
        <f t="shared" si="5"/>
        <v>32</v>
      </c>
      <c r="AP20" s="210" t="s">
        <v>369</v>
      </c>
      <c r="AQ20" s="210" t="s">
        <v>369</v>
      </c>
      <c r="AR20" s="210">
        <v>4</v>
      </c>
      <c r="AS20" s="210">
        <v>2</v>
      </c>
      <c r="AT20" s="210">
        <v>2</v>
      </c>
      <c r="AU20" s="210">
        <v>3</v>
      </c>
      <c r="AV20" s="210">
        <v>2</v>
      </c>
      <c r="AW20" s="210">
        <v>2</v>
      </c>
      <c r="AX20" s="210">
        <v>3</v>
      </c>
      <c r="AY20" s="210" t="s">
        <v>370</v>
      </c>
      <c r="AZ20" s="210"/>
      <c r="BA20" s="210"/>
      <c r="BB20" s="210">
        <v>3</v>
      </c>
      <c r="BC20" s="210">
        <v>3</v>
      </c>
      <c r="BD20" s="210">
        <v>3</v>
      </c>
      <c r="BE20" s="211"/>
      <c r="BF20" s="212"/>
      <c r="BG20" s="212"/>
      <c r="BH20" s="213">
        <v>0</v>
      </c>
    </row>
    <row r="21" spans="1:60" s="41" customFormat="1" x14ac:dyDescent="0.2">
      <c r="A21" s="38">
        <v>15</v>
      </c>
      <c r="B21" s="39" t="s">
        <v>202</v>
      </c>
      <c r="C21" s="110">
        <v>5</v>
      </c>
      <c r="D21" s="204">
        <v>3</v>
      </c>
      <c r="E21" s="204">
        <v>4</v>
      </c>
      <c r="F21" s="204">
        <v>3</v>
      </c>
      <c r="G21" s="204">
        <v>2</v>
      </c>
      <c r="H21" s="204">
        <v>1</v>
      </c>
      <c r="I21" s="204">
        <v>1</v>
      </c>
      <c r="J21" s="204">
        <v>1</v>
      </c>
      <c r="K21" s="204">
        <v>1</v>
      </c>
      <c r="L21" s="205">
        <v>2</v>
      </c>
      <c r="M21" s="205">
        <v>3</v>
      </c>
      <c r="N21" s="205">
        <v>3</v>
      </c>
      <c r="O21" s="206"/>
      <c r="P21" s="206"/>
      <c r="Q21" s="205"/>
      <c r="R21" s="205">
        <v>2</v>
      </c>
      <c r="S21" s="205"/>
      <c r="T21" s="205"/>
      <c r="U21" s="205"/>
      <c r="V21" s="207">
        <f t="shared" si="4"/>
        <v>31</v>
      </c>
      <c r="W21" s="208">
        <v>3</v>
      </c>
      <c r="X21" s="208">
        <v>4</v>
      </c>
      <c r="Y21" s="208">
        <v>3</v>
      </c>
      <c r="Z21" s="208">
        <v>2</v>
      </c>
      <c r="AA21" s="208">
        <v>1</v>
      </c>
      <c r="AB21" s="208">
        <v>2</v>
      </c>
      <c r="AC21" s="208">
        <v>1</v>
      </c>
      <c r="AD21" s="208">
        <v>1</v>
      </c>
      <c r="AE21" s="206">
        <v>2</v>
      </c>
      <c r="AF21" s="206">
        <v>3</v>
      </c>
      <c r="AG21" s="206">
        <v>3</v>
      </c>
      <c r="AH21" s="206"/>
      <c r="AI21" s="206"/>
      <c r="AJ21" s="206"/>
      <c r="AK21" s="206">
        <v>2</v>
      </c>
      <c r="AL21" s="206"/>
      <c r="AM21" s="206"/>
      <c r="AN21" s="206"/>
      <c r="AO21" s="209">
        <f t="shared" si="5"/>
        <v>32</v>
      </c>
      <c r="AP21" s="210">
        <v>4</v>
      </c>
      <c r="AQ21" s="210" t="s">
        <v>369</v>
      </c>
      <c r="AR21" s="210">
        <v>4</v>
      </c>
      <c r="AS21" s="210">
        <v>2</v>
      </c>
      <c r="AT21" s="210">
        <v>2</v>
      </c>
      <c r="AU21" s="210">
        <v>3</v>
      </c>
      <c r="AV21" s="210">
        <v>2</v>
      </c>
      <c r="AW21" s="210">
        <v>2</v>
      </c>
      <c r="AX21" s="210">
        <v>3</v>
      </c>
      <c r="AY21" s="210" t="s">
        <v>370</v>
      </c>
      <c r="AZ21" s="210" t="s">
        <v>370</v>
      </c>
      <c r="BA21" s="210"/>
      <c r="BB21" s="210"/>
      <c r="BC21" s="210"/>
      <c r="BD21" s="210">
        <v>3</v>
      </c>
      <c r="BE21" s="211"/>
      <c r="BF21" s="212"/>
      <c r="BG21" s="212"/>
      <c r="BH21" s="213">
        <v>0</v>
      </c>
    </row>
    <row r="22" spans="1:60" s="41" customFormat="1" x14ac:dyDescent="0.2">
      <c r="A22" s="38">
        <v>16</v>
      </c>
      <c r="B22" s="39" t="s">
        <v>203</v>
      </c>
      <c r="C22" s="110">
        <v>5</v>
      </c>
      <c r="D22" s="204">
        <v>3</v>
      </c>
      <c r="E22" s="204">
        <v>4</v>
      </c>
      <c r="F22" s="204">
        <v>3</v>
      </c>
      <c r="G22" s="204">
        <v>2</v>
      </c>
      <c r="H22" s="204">
        <v>1</v>
      </c>
      <c r="I22" s="204">
        <v>1</v>
      </c>
      <c r="J22" s="204">
        <v>1</v>
      </c>
      <c r="K22" s="204">
        <v>1</v>
      </c>
      <c r="L22" s="205">
        <v>2</v>
      </c>
      <c r="M22" s="205">
        <v>3</v>
      </c>
      <c r="N22" s="205">
        <v>3</v>
      </c>
      <c r="O22" s="206"/>
      <c r="P22" s="206"/>
      <c r="Q22" s="205">
        <v>2</v>
      </c>
      <c r="R22" s="205"/>
      <c r="S22" s="205"/>
      <c r="T22" s="205"/>
      <c r="U22" s="205"/>
      <c r="V22" s="207">
        <f t="shared" si="4"/>
        <v>31</v>
      </c>
      <c r="W22" s="208">
        <v>3</v>
      </c>
      <c r="X22" s="208">
        <v>4</v>
      </c>
      <c r="Y22" s="208">
        <v>3</v>
      </c>
      <c r="Z22" s="208">
        <v>2</v>
      </c>
      <c r="AA22" s="208">
        <v>1</v>
      </c>
      <c r="AB22" s="208">
        <v>2</v>
      </c>
      <c r="AC22" s="208">
        <v>1</v>
      </c>
      <c r="AD22" s="208">
        <v>1</v>
      </c>
      <c r="AE22" s="206">
        <v>2</v>
      </c>
      <c r="AF22" s="206">
        <v>3</v>
      </c>
      <c r="AG22" s="206">
        <v>3</v>
      </c>
      <c r="AH22" s="206"/>
      <c r="AI22" s="206"/>
      <c r="AJ22" s="206">
        <v>2</v>
      </c>
      <c r="AK22" s="206"/>
      <c r="AL22" s="206"/>
      <c r="AM22" s="206"/>
      <c r="AN22" s="206"/>
      <c r="AO22" s="209">
        <f t="shared" si="5"/>
        <v>32</v>
      </c>
      <c r="AP22" s="210">
        <v>4</v>
      </c>
      <c r="AQ22" s="210" t="s">
        <v>369</v>
      </c>
      <c r="AR22" s="210">
        <v>4</v>
      </c>
      <c r="AS22" s="210">
        <v>2</v>
      </c>
      <c r="AT22" s="210">
        <v>2</v>
      </c>
      <c r="AU22" s="210">
        <v>3</v>
      </c>
      <c r="AV22" s="210">
        <v>2</v>
      </c>
      <c r="AW22" s="210">
        <v>2</v>
      </c>
      <c r="AX22" s="210">
        <v>3</v>
      </c>
      <c r="AY22" s="210" t="s">
        <v>370</v>
      </c>
      <c r="AZ22" s="210" t="s">
        <v>370</v>
      </c>
      <c r="BA22" s="210"/>
      <c r="BB22" s="210"/>
      <c r="BC22" s="210">
        <v>3</v>
      </c>
      <c r="BD22" s="210"/>
      <c r="BE22" s="211"/>
      <c r="BF22" s="212"/>
      <c r="BG22" s="212"/>
      <c r="BH22" s="213">
        <v>0</v>
      </c>
    </row>
    <row r="23" spans="1:60" s="41" customFormat="1" x14ac:dyDescent="0.2">
      <c r="A23" s="38">
        <v>17</v>
      </c>
      <c r="B23" s="39" t="s">
        <v>204</v>
      </c>
      <c r="C23" s="110">
        <v>5</v>
      </c>
      <c r="D23" s="204">
        <v>3</v>
      </c>
      <c r="E23" s="204">
        <v>4</v>
      </c>
      <c r="F23" s="204">
        <v>3</v>
      </c>
      <c r="G23" s="204">
        <v>2</v>
      </c>
      <c r="H23" s="204">
        <v>1</v>
      </c>
      <c r="I23" s="204">
        <v>1</v>
      </c>
      <c r="J23" s="204">
        <v>1</v>
      </c>
      <c r="K23" s="204">
        <v>1</v>
      </c>
      <c r="L23" s="205">
        <v>2</v>
      </c>
      <c r="M23" s="205">
        <v>3</v>
      </c>
      <c r="N23" s="205">
        <v>3</v>
      </c>
      <c r="O23" s="206"/>
      <c r="P23" s="206"/>
      <c r="Q23" s="205">
        <v>2</v>
      </c>
      <c r="R23" s="205"/>
      <c r="S23" s="205"/>
      <c r="T23" s="205"/>
      <c r="U23" s="205"/>
      <c r="V23" s="207">
        <f t="shared" si="4"/>
        <v>31</v>
      </c>
      <c r="W23" s="208">
        <v>3</v>
      </c>
      <c r="X23" s="208">
        <v>4</v>
      </c>
      <c r="Y23" s="208">
        <v>3</v>
      </c>
      <c r="Z23" s="208">
        <v>2</v>
      </c>
      <c r="AA23" s="208">
        <v>1</v>
      </c>
      <c r="AB23" s="208">
        <v>2</v>
      </c>
      <c r="AC23" s="208">
        <v>1</v>
      </c>
      <c r="AD23" s="208">
        <v>1</v>
      </c>
      <c r="AE23" s="206">
        <v>2</v>
      </c>
      <c r="AF23" s="206">
        <v>3</v>
      </c>
      <c r="AG23" s="206">
        <v>3</v>
      </c>
      <c r="AH23" s="206"/>
      <c r="AI23" s="206"/>
      <c r="AJ23" s="206">
        <v>2</v>
      </c>
      <c r="AK23" s="206"/>
      <c r="AL23" s="206"/>
      <c r="AM23" s="206"/>
      <c r="AN23" s="206"/>
      <c r="AO23" s="209">
        <f t="shared" si="5"/>
        <v>32</v>
      </c>
      <c r="AP23" s="210">
        <v>4</v>
      </c>
      <c r="AQ23" s="210" t="s">
        <v>369</v>
      </c>
      <c r="AR23" s="210">
        <v>4</v>
      </c>
      <c r="AS23" s="210">
        <v>2</v>
      </c>
      <c r="AT23" s="210">
        <v>2</v>
      </c>
      <c r="AU23" s="210">
        <v>3</v>
      </c>
      <c r="AV23" s="210">
        <v>2</v>
      </c>
      <c r="AW23" s="210">
        <v>2</v>
      </c>
      <c r="AX23" s="210">
        <v>3</v>
      </c>
      <c r="AY23" s="210" t="s">
        <v>370</v>
      </c>
      <c r="AZ23" s="210" t="s">
        <v>370</v>
      </c>
      <c r="BA23" s="210"/>
      <c r="BB23" s="210"/>
      <c r="BC23" s="210">
        <v>3</v>
      </c>
      <c r="BD23" s="210"/>
      <c r="BE23" s="211"/>
      <c r="BF23" s="212"/>
      <c r="BG23" s="212"/>
      <c r="BH23" s="213">
        <v>0</v>
      </c>
    </row>
    <row r="24" spans="1:60" s="41" customFormat="1" x14ac:dyDescent="0.2">
      <c r="A24" s="38">
        <v>18</v>
      </c>
      <c r="B24" s="39" t="s">
        <v>305</v>
      </c>
      <c r="C24" s="110">
        <v>5</v>
      </c>
      <c r="D24" s="204">
        <v>3</v>
      </c>
      <c r="E24" s="204">
        <v>4</v>
      </c>
      <c r="F24" s="204">
        <v>3</v>
      </c>
      <c r="G24" s="204">
        <v>2</v>
      </c>
      <c r="H24" s="204">
        <v>1</v>
      </c>
      <c r="I24" s="204">
        <v>1</v>
      </c>
      <c r="J24" s="204">
        <v>1</v>
      </c>
      <c r="K24" s="204">
        <v>1</v>
      </c>
      <c r="L24" s="205">
        <v>2</v>
      </c>
      <c r="M24" s="205">
        <v>3</v>
      </c>
      <c r="N24" s="205">
        <v>3</v>
      </c>
      <c r="O24" s="206"/>
      <c r="P24" s="206"/>
      <c r="Q24" s="205">
        <v>2</v>
      </c>
      <c r="R24" s="205"/>
      <c r="S24" s="205"/>
      <c r="T24" s="205"/>
      <c r="U24" s="205"/>
      <c r="V24" s="207">
        <f t="shared" si="4"/>
        <v>31</v>
      </c>
      <c r="W24" s="208">
        <v>3</v>
      </c>
      <c r="X24" s="208">
        <v>4</v>
      </c>
      <c r="Y24" s="208">
        <v>3</v>
      </c>
      <c r="Z24" s="208">
        <v>2</v>
      </c>
      <c r="AA24" s="208">
        <v>1</v>
      </c>
      <c r="AB24" s="208">
        <v>2</v>
      </c>
      <c r="AC24" s="208">
        <v>1</v>
      </c>
      <c r="AD24" s="208">
        <v>1</v>
      </c>
      <c r="AE24" s="206">
        <v>2</v>
      </c>
      <c r="AF24" s="206">
        <v>3</v>
      </c>
      <c r="AG24" s="206">
        <v>3</v>
      </c>
      <c r="AH24" s="206"/>
      <c r="AI24" s="206"/>
      <c r="AJ24" s="206">
        <v>2</v>
      </c>
      <c r="AK24" s="206"/>
      <c r="AL24" s="206"/>
      <c r="AM24" s="206"/>
      <c r="AN24" s="206"/>
      <c r="AO24" s="209">
        <f t="shared" si="5"/>
        <v>32</v>
      </c>
      <c r="AP24" s="210">
        <v>4</v>
      </c>
      <c r="AQ24" s="210" t="s">
        <v>369</v>
      </c>
      <c r="AR24" s="210">
        <v>4</v>
      </c>
      <c r="AS24" s="210">
        <v>2</v>
      </c>
      <c r="AT24" s="210">
        <v>2</v>
      </c>
      <c r="AU24" s="210">
        <v>3</v>
      </c>
      <c r="AV24" s="210">
        <v>2</v>
      </c>
      <c r="AW24" s="210">
        <v>2</v>
      </c>
      <c r="AX24" s="210">
        <v>3</v>
      </c>
      <c r="AY24" s="210" t="s">
        <v>370</v>
      </c>
      <c r="AZ24" s="210" t="s">
        <v>370</v>
      </c>
      <c r="BA24" s="210"/>
      <c r="BB24" s="210"/>
      <c r="BC24" s="210">
        <v>3</v>
      </c>
      <c r="BD24" s="210"/>
      <c r="BE24" s="211"/>
      <c r="BF24" s="212"/>
      <c r="BG24" s="212"/>
      <c r="BH24" s="213">
        <v>0</v>
      </c>
    </row>
    <row r="25" spans="1:60" s="41" customFormat="1" x14ac:dyDescent="0.2">
      <c r="A25" s="38">
        <v>19</v>
      </c>
      <c r="B25" s="200" t="s">
        <v>27</v>
      </c>
      <c r="C25" s="201">
        <v>5</v>
      </c>
      <c r="D25" s="214">
        <v>3</v>
      </c>
      <c r="E25" s="214">
        <v>4</v>
      </c>
      <c r="F25" s="214">
        <v>3</v>
      </c>
      <c r="G25" s="214">
        <v>2</v>
      </c>
      <c r="H25" s="214">
        <v>1</v>
      </c>
      <c r="I25" s="214">
        <v>2</v>
      </c>
      <c r="J25" s="214">
        <v>1</v>
      </c>
      <c r="K25" s="214">
        <v>1</v>
      </c>
      <c r="L25" s="215">
        <v>2</v>
      </c>
      <c r="M25" s="215">
        <v>3</v>
      </c>
      <c r="N25" s="215">
        <v>3</v>
      </c>
      <c r="O25" s="216"/>
      <c r="P25" s="216"/>
      <c r="Q25" s="215">
        <v>2</v>
      </c>
      <c r="R25" s="215"/>
      <c r="S25" s="215"/>
      <c r="T25" s="215"/>
      <c r="U25" s="215"/>
      <c r="V25" s="207">
        <f t="shared" si="4"/>
        <v>32</v>
      </c>
      <c r="W25" s="217">
        <v>3</v>
      </c>
      <c r="X25" s="217">
        <v>4</v>
      </c>
      <c r="Y25" s="217">
        <v>3</v>
      </c>
      <c r="Z25" s="217">
        <v>2</v>
      </c>
      <c r="AA25" s="217">
        <v>1</v>
      </c>
      <c r="AB25" s="217">
        <v>1</v>
      </c>
      <c r="AC25" s="217">
        <v>1</v>
      </c>
      <c r="AD25" s="217">
        <v>1</v>
      </c>
      <c r="AE25" s="216">
        <v>2</v>
      </c>
      <c r="AF25" s="216">
        <v>3</v>
      </c>
      <c r="AG25" s="216">
        <v>3</v>
      </c>
      <c r="AH25" s="216"/>
      <c r="AI25" s="216"/>
      <c r="AJ25" s="216">
        <v>2</v>
      </c>
      <c r="AK25" s="216"/>
      <c r="AL25" s="216"/>
      <c r="AM25" s="216"/>
      <c r="AN25" s="216"/>
      <c r="AO25" s="209">
        <f t="shared" si="5"/>
        <v>31</v>
      </c>
      <c r="AP25" s="211">
        <v>4</v>
      </c>
      <c r="AQ25" s="211" t="s">
        <v>369</v>
      </c>
      <c r="AR25" s="211">
        <v>4</v>
      </c>
      <c r="AS25" s="211">
        <v>2</v>
      </c>
      <c r="AT25" s="211">
        <v>2</v>
      </c>
      <c r="AU25" s="211">
        <v>3</v>
      </c>
      <c r="AV25" s="211">
        <v>2</v>
      </c>
      <c r="AW25" s="211">
        <v>2</v>
      </c>
      <c r="AX25" s="211">
        <v>3</v>
      </c>
      <c r="AY25" s="211" t="s">
        <v>370</v>
      </c>
      <c r="AZ25" s="211" t="s">
        <v>370</v>
      </c>
      <c r="BA25" s="211"/>
      <c r="BB25" s="211"/>
      <c r="BC25" s="211">
        <v>3</v>
      </c>
      <c r="BD25" s="211"/>
      <c r="BE25" s="211"/>
      <c r="BF25" s="211"/>
      <c r="BG25" s="211"/>
      <c r="BH25" s="218">
        <v>0</v>
      </c>
    </row>
    <row r="26" spans="1:60" s="41" customFormat="1" x14ac:dyDescent="0.2">
      <c r="A26" s="38">
        <v>20</v>
      </c>
      <c r="B26" s="200" t="s">
        <v>30</v>
      </c>
      <c r="C26" s="201">
        <v>5</v>
      </c>
      <c r="D26" s="214">
        <v>3</v>
      </c>
      <c r="E26" s="214">
        <v>4</v>
      </c>
      <c r="F26" s="214">
        <v>3</v>
      </c>
      <c r="G26" s="214">
        <v>2</v>
      </c>
      <c r="H26" s="214">
        <v>1</v>
      </c>
      <c r="I26" s="214">
        <v>2</v>
      </c>
      <c r="J26" s="214">
        <v>1</v>
      </c>
      <c r="K26" s="214">
        <v>1</v>
      </c>
      <c r="L26" s="215">
        <v>2</v>
      </c>
      <c r="M26" s="215">
        <v>3</v>
      </c>
      <c r="N26" s="215">
        <v>3</v>
      </c>
      <c r="O26" s="216"/>
      <c r="P26" s="216"/>
      <c r="Q26" s="215">
        <v>2</v>
      </c>
      <c r="R26" s="215"/>
      <c r="S26" s="215"/>
      <c r="T26" s="215"/>
      <c r="U26" s="215"/>
      <c r="V26" s="207">
        <f t="shared" si="4"/>
        <v>32</v>
      </c>
      <c r="W26" s="217">
        <v>3</v>
      </c>
      <c r="X26" s="217">
        <v>4</v>
      </c>
      <c r="Y26" s="217">
        <v>3</v>
      </c>
      <c r="Z26" s="217">
        <v>2</v>
      </c>
      <c r="AA26" s="217">
        <v>1</v>
      </c>
      <c r="AB26" s="217">
        <v>1</v>
      </c>
      <c r="AC26" s="217">
        <v>1</v>
      </c>
      <c r="AD26" s="217">
        <v>1</v>
      </c>
      <c r="AE26" s="216">
        <v>2</v>
      </c>
      <c r="AF26" s="216">
        <v>3</v>
      </c>
      <c r="AG26" s="216">
        <v>3</v>
      </c>
      <c r="AH26" s="216"/>
      <c r="AI26" s="216"/>
      <c r="AJ26" s="216">
        <v>2</v>
      </c>
      <c r="AK26" s="216"/>
      <c r="AL26" s="216"/>
      <c r="AM26" s="216"/>
      <c r="AN26" s="216"/>
      <c r="AO26" s="209">
        <f t="shared" si="5"/>
        <v>31</v>
      </c>
      <c r="AP26" s="211">
        <v>4</v>
      </c>
      <c r="AQ26" s="211" t="s">
        <v>369</v>
      </c>
      <c r="AR26" s="211">
        <v>4</v>
      </c>
      <c r="AS26" s="211">
        <v>2</v>
      </c>
      <c r="AT26" s="211">
        <v>2</v>
      </c>
      <c r="AU26" s="211">
        <v>3</v>
      </c>
      <c r="AV26" s="211">
        <v>2</v>
      </c>
      <c r="AW26" s="211">
        <v>2</v>
      </c>
      <c r="AX26" s="211">
        <v>3</v>
      </c>
      <c r="AY26" s="211" t="s">
        <v>370</v>
      </c>
      <c r="AZ26" s="211" t="s">
        <v>370</v>
      </c>
      <c r="BA26" s="211"/>
      <c r="BB26" s="211"/>
      <c r="BC26" s="211">
        <v>3</v>
      </c>
      <c r="BD26" s="211"/>
      <c r="BE26" s="211"/>
      <c r="BF26" s="211"/>
      <c r="BG26" s="211"/>
      <c r="BH26" s="218">
        <v>0</v>
      </c>
    </row>
    <row r="27" spans="1:60" s="41" customFormat="1" x14ac:dyDescent="0.2">
      <c r="A27" s="38">
        <v>21</v>
      </c>
      <c r="B27" s="200" t="s">
        <v>20</v>
      </c>
      <c r="C27" s="201">
        <v>5</v>
      </c>
      <c r="D27" s="214">
        <v>3</v>
      </c>
      <c r="E27" s="214">
        <v>4</v>
      </c>
      <c r="F27" s="214">
        <v>3</v>
      </c>
      <c r="G27" s="214">
        <v>2</v>
      </c>
      <c r="H27" s="214">
        <v>1</v>
      </c>
      <c r="I27" s="214">
        <v>2</v>
      </c>
      <c r="J27" s="214">
        <v>1</v>
      </c>
      <c r="K27" s="214">
        <v>1</v>
      </c>
      <c r="L27" s="215">
        <v>2</v>
      </c>
      <c r="M27" s="215">
        <v>3</v>
      </c>
      <c r="N27" s="215">
        <v>3</v>
      </c>
      <c r="O27" s="216"/>
      <c r="P27" s="216"/>
      <c r="Q27" s="215"/>
      <c r="R27" s="215">
        <v>2</v>
      </c>
      <c r="S27" s="215"/>
      <c r="T27" s="215"/>
      <c r="U27" s="215"/>
      <c r="V27" s="207">
        <f t="shared" si="4"/>
        <v>32</v>
      </c>
      <c r="W27" s="217">
        <v>3</v>
      </c>
      <c r="X27" s="217">
        <v>4</v>
      </c>
      <c r="Y27" s="217">
        <v>3</v>
      </c>
      <c r="Z27" s="217">
        <v>2</v>
      </c>
      <c r="AA27" s="217">
        <v>1</v>
      </c>
      <c r="AB27" s="217">
        <v>1</v>
      </c>
      <c r="AC27" s="217">
        <v>1</v>
      </c>
      <c r="AD27" s="217">
        <v>1</v>
      </c>
      <c r="AE27" s="216">
        <v>2</v>
      </c>
      <c r="AF27" s="216">
        <v>3</v>
      </c>
      <c r="AG27" s="216">
        <v>3</v>
      </c>
      <c r="AH27" s="216"/>
      <c r="AI27" s="216"/>
      <c r="AJ27" s="216"/>
      <c r="AK27" s="216">
        <v>2</v>
      </c>
      <c r="AL27" s="216"/>
      <c r="AM27" s="216"/>
      <c r="AN27" s="216"/>
      <c r="AO27" s="209">
        <f t="shared" si="5"/>
        <v>31</v>
      </c>
      <c r="AP27" s="211">
        <v>4</v>
      </c>
      <c r="AQ27" s="211" t="s">
        <v>369</v>
      </c>
      <c r="AR27" s="211">
        <v>4</v>
      </c>
      <c r="AS27" s="211">
        <v>2</v>
      </c>
      <c r="AT27" s="211">
        <v>2</v>
      </c>
      <c r="AU27" s="211">
        <v>3</v>
      </c>
      <c r="AV27" s="211">
        <v>2</v>
      </c>
      <c r="AW27" s="211">
        <v>2</v>
      </c>
      <c r="AX27" s="211">
        <v>3</v>
      </c>
      <c r="AY27" s="211" t="s">
        <v>370</v>
      </c>
      <c r="AZ27" s="211" t="s">
        <v>370</v>
      </c>
      <c r="BA27" s="211"/>
      <c r="BB27" s="211"/>
      <c r="BC27" s="211"/>
      <c r="BD27" s="211">
        <v>3</v>
      </c>
      <c r="BE27" s="211"/>
      <c r="BF27" s="211"/>
      <c r="BG27" s="211"/>
      <c r="BH27" s="218">
        <v>0</v>
      </c>
    </row>
    <row r="28" spans="1:60" s="45" customFormat="1" x14ac:dyDescent="0.2">
      <c r="A28" s="38">
        <v>22</v>
      </c>
      <c r="B28" s="200" t="s">
        <v>140</v>
      </c>
      <c r="C28" s="201">
        <v>5</v>
      </c>
      <c r="D28" s="214">
        <v>4</v>
      </c>
      <c r="E28" s="214">
        <v>4</v>
      </c>
      <c r="F28" s="214">
        <v>3</v>
      </c>
      <c r="G28" s="214">
        <v>2</v>
      </c>
      <c r="H28" s="214">
        <v>1</v>
      </c>
      <c r="I28" s="214">
        <v>2</v>
      </c>
      <c r="J28" s="214">
        <v>1</v>
      </c>
      <c r="K28" s="214">
        <v>1</v>
      </c>
      <c r="L28" s="215"/>
      <c r="M28" s="215">
        <v>3</v>
      </c>
      <c r="N28" s="215"/>
      <c r="O28" s="216"/>
      <c r="P28" s="216">
        <v>2</v>
      </c>
      <c r="Q28" s="215">
        <v>2</v>
      </c>
      <c r="R28" s="215">
        <v>2</v>
      </c>
      <c r="S28" s="215"/>
      <c r="T28" s="215"/>
      <c r="U28" s="215"/>
      <c r="V28" s="207">
        <f t="shared" si="4"/>
        <v>32</v>
      </c>
      <c r="W28" s="217">
        <v>4</v>
      </c>
      <c r="X28" s="217">
        <v>4</v>
      </c>
      <c r="Y28" s="217">
        <v>3</v>
      </c>
      <c r="Z28" s="217">
        <v>2</v>
      </c>
      <c r="AA28" s="217">
        <v>1</v>
      </c>
      <c r="AB28" s="217">
        <v>1</v>
      </c>
      <c r="AC28" s="217">
        <v>1</v>
      </c>
      <c r="AD28" s="217">
        <v>1</v>
      </c>
      <c r="AE28" s="216"/>
      <c r="AF28" s="216">
        <v>3</v>
      </c>
      <c r="AG28" s="216"/>
      <c r="AH28" s="216"/>
      <c r="AI28" s="216">
        <v>2</v>
      </c>
      <c r="AJ28" s="216">
        <v>2</v>
      </c>
      <c r="AK28" s="216">
        <v>2</v>
      </c>
      <c r="AL28" s="216"/>
      <c r="AM28" s="216"/>
      <c r="AN28" s="216"/>
      <c r="AO28" s="209">
        <f t="shared" si="5"/>
        <v>31</v>
      </c>
      <c r="AP28" s="211" t="s">
        <v>369</v>
      </c>
      <c r="AQ28" s="211" t="s">
        <v>369</v>
      </c>
      <c r="AR28" s="211">
        <v>4</v>
      </c>
      <c r="AS28" s="211">
        <v>2</v>
      </c>
      <c r="AT28" s="211">
        <v>2</v>
      </c>
      <c r="AU28" s="211">
        <v>3</v>
      </c>
      <c r="AV28" s="211">
        <v>2</v>
      </c>
      <c r="AW28" s="211">
        <v>2</v>
      </c>
      <c r="AX28" s="211">
        <v>3</v>
      </c>
      <c r="AY28" s="211" t="s">
        <v>370</v>
      </c>
      <c r="AZ28" s="211"/>
      <c r="BA28" s="211"/>
      <c r="BB28" s="211">
        <v>3</v>
      </c>
      <c r="BC28" s="211">
        <v>3</v>
      </c>
      <c r="BD28" s="211">
        <v>3</v>
      </c>
      <c r="BE28" s="211"/>
      <c r="BF28" s="211"/>
      <c r="BG28" s="211"/>
      <c r="BH28" s="218">
        <v>0</v>
      </c>
    </row>
    <row r="29" spans="1:60" s="45" customFormat="1" x14ac:dyDescent="0.2">
      <c r="A29" s="38">
        <v>23</v>
      </c>
      <c r="B29" s="200" t="s">
        <v>173</v>
      </c>
      <c r="C29" s="201">
        <v>5</v>
      </c>
      <c r="D29" s="214">
        <v>4</v>
      </c>
      <c r="E29" s="214">
        <v>4</v>
      </c>
      <c r="F29" s="214">
        <v>3</v>
      </c>
      <c r="G29" s="214">
        <v>2</v>
      </c>
      <c r="H29" s="214">
        <v>1</v>
      </c>
      <c r="I29" s="214">
        <v>2</v>
      </c>
      <c r="J29" s="214">
        <v>1</v>
      </c>
      <c r="K29" s="214">
        <v>1</v>
      </c>
      <c r="L29" s="215"/>
      <c r="M29" s="215">
        <v>3</v>
      </c>
      <c r="N29" s="215"/>
      <c r="O29" s="216"/>
      <c r="P29" s="216">
        <v>2</v>
      </c>
      <c r="Q29" s="215">
        <v>2</v>
      </c>
      <c r="R29" s="215">
        <v>2</v>
      </c>
      <c r="S29" s="215"/>
      <c r="T29" s="215"/>
      <c r="U29" s="215"/>
      <c r="V29" s="207">
        <f t="shared" si="4"/>
        <v>32</v>
      </c>
      <c r="W29" s="217">
        <v>4</v>
      </c>
      <c r="X29" s="217">
        <v>4</v>
      </c>
      <c r="Y29" s="217">
        <v>3</v>
      </c>
      <c r="Z29" s="217">
        <v>2</v>
      </c>
      <c r="AA29" s="217">
        <v>1</v>
      </c>
      <c r="AB29" s="217">
        <v>1</v>
      </c>
      <c r="AC29" s="217">
        <v>1</v>
      </c>
      <c r="AD29" s="217">
        <v>1</v>
      </c>
      <c r="AE29" s="216"/>
      <c r="AF29" s="216">
        <v>3</v>
      </c>
      <c r="AG29" s="216"/>
      <c r="AH29" s="216"/>
      <c r="AI29" s="216">
        <v>2</v>
      </c>
      <c r="AJ29" s="216">
        <v>2</v>
      </c>
      <c r="AK29" s="216">
        <v>2</v>
      </c>
      <c r="AL29" s="216"/>
      <c r="AM29" s="216"/>
      <c r="AN29" s="216"/>
      <c r="AO29" s="209">
        <f t="shared" si="5"/>
        <v>31</v>
      </c>
      <c r="AP29" s="211" t="s">
        <v>369</v>
      </c>
      <c r="AQ29" s="211" t="s">
        <v>369</v>
      </c>
      <c r="AR29" s="211">
        <v>4</v>
      </c>
      <c r="AS29" s="211">
        <v>2</v>
      </c>
      <c r="AT29" s="211">
        <v>2</v>
      </c>
      <c r="AU29" s="211">
        <v>3</v>
      </c>
      <c r="AV29" s="211">
        <v>2</v>
      </c>
      <c r="AW29" s="211">
        <v>2</v>
      </c>
      <c r="AX29" s="211">
        <v>3</v>
      </c>
      <c r="AY29" s="211" t="s">
        <v>370</v>
      </c>
      <c r="AZ29" s="211"/>
      <c r="BA29" s="211"/>
      <c r="BB29" s="211">
        <v>3</v>
      </c>
      <c r="BC29" s="211">
        <v>3</v>
      </c>
      <c r="BD29" s="211">
        <v>3</v>
      </c>
      <c r="BE29" s="211"/>
      <c r="BF29" s="211"/>
      <c r="BG29" s="211"/>
      <c r="BH29" s="218">
        <v>0</v>
      </c>
    </row>
    <row r="30" spans="1:60" s="45" customFormat="1" x14ac:dyDescent="0.2">
      <c r="A30" s="38">
        <v>24</v>
      </c>
      <c r="B30" s="200" t="s">
        <v>213</v>
      </c>
      <c r="C30" s="201">
        <v>5</v>
      </c>
      <c r="D30" s="214">
        <v>3</v>
      </c>
      <c r="E30" s="214">
        <v>4</v>
      </c>
      <c r="F30" s="214">
        <v>3</v>
      </c>
      <c r="G30" s="214">
        <v>2</v>
      </c>
      <c r="H30" s="214">
        <v>1</v>
      </c>
      <c r="I30" s="214">
        <v>2</v>
      </c>
      <c r="J30" s="214">
        <v>1</v>
      </c>
      <c r="K30" s="214">
        <v>1</v>
      </c>
      <c r="L30" s="215">
        <v>3</v>
      </c>
      <c r="M30" s="215"/>
      <c r="N30" s="215"/>
      <c r="O30" s="216">
        <v>3</v>
      </c>
      <c r="P30" s="216"/>
      <c r="Q30" s="215">
        <v>2</v>
      </c>
      <c r="R30" s="215">
        <v>2</v>
      </c>
      <c r="S30" s="215"/>
      <c r="T30" s="215"/>
      <c r="U30" s="215"/>
      <c r="V30" s="207">
        <f t="shared" si="4"/>
        <v>32</v>
      </c>
      <c r="W30" s="217">
        <v>3</v>
      </c>
      <c r="X30" s="217">
        <v>4</v>
      </c>
      <c r="Y30" s="217">
        <v>3</v>
      </c>
      <c r="Z30" s="217">
        <v>2</v>
      </c>
      <c r="AA30" s="217">
        <v>1</v>
      </c>
      <c r="AB30" s="217">
        <v>1</v>
      </c>
      <c r="AC30" s="217">
        <v>1</v>
      </c>
      <c r="AD30" s="217">
        <v>1</v>
      </c>
      <c r="AE30" s="216">
        <v>3</v>
      </c>
      <c r="AF30" s="216"/>
      <c r="AG30" s="216"/>
      <c r="AH30" s="216">
        <v>3</v>
      </c>
      <c r="AI30" s="216"/>
      <c r="AJ30" s="216">
        <v>2</v>
      </c>
      <c r="AK30" s="216">
        <v>2</v>
      </c>
      <c r="AL30" s="216"/>
      <c r="AM30" s="216"/>
      <c r="AN30" s="216"/>
      <c r="AO30" s="209">
        <f t="shared" si="5"/>
        <v>31</v>
      </c>
      <c r="AP30" s="211">
        <v>4</v>
      </c>
      <c r="AQ30" s="211" t="s">
        <v>369</v>
      </c>
      <c r="AR30" s="211">
        <v>4</v>
      </c>
      <c r="AS30" s="211">
        <v>2</v>
      </c>
      <c r="AT30" s="211">
        <v>2</v>
      </c>
      <c r="AU30" s="211">
        <v>3</v>
      </c>
      <c r="AV30" s="211">
        <v>2</v>
      </c>
      <c r="AW30" s="211">
        <v>2</v>
      </c>
      <c r="AX30" s="211" t="s">
        <v>370</v>
      </c>
      <c r="AY30" s="211"/>
      <c r="AZ30" s="211"/>
      <c r="BA30" s="211" t="s">
        <v>370</v>
      </c>
      <c r="BB30" s="211"/>
      <c r="BC30" s="211">
        <v>3</v>
      </c>
      <c r="BD30" s="211">
        <v>3</v>
      </c>
      <c r="BE30" s="211"/>
      <c r="BF30" s="211"/>
      <c r="BG30" s="211"/>
      <c r="BH30" s="218">
        <v>0</v>
      </c>
    </row>
    <row r="31" spans="1:60" s="45" customFormat="1" x14ac:dyDescent="0.2">
      <c r="A31" s="38">
        <v>25</v>
      </c>
      <c r="B31" s="200" t="s">
        <v>214</v>
      </c>
      <c r="C31" s="201">
        <v>5</v>
      </c>
      <c r="D31" s="214">
        <v>3</v>
      </c>
      <c r="E31" s="214">
        <v>4</v>
      </c>
      <c r="F31" s="214">
        <v>3</v>
      </c>
      <c r="G31" s="214">
        <v>2</v>
      </c>
      <c r="H31" s="214">
        <v>1</v>
      </c>
      <c r="I31" s="214">
        <v>2</v>
      </c>
      <c r="J31" s="214">
        <v>1</v>
      </c>
      <c r="K31" s="214">
        <v>1</v>
      </c>
      <c r="L31" s="215">
        <v>3</v>
      </c>
      <c r="M31" s="215"/>
      <c r="N31" s="215"/>
      <c r="O31" s="216">
        <v>3</v>
      </c>
      <c r="P31" s="216"/>
      <c r="Q31" s="215">
        <v>2</v>
      </c>
      <c r="R31" s="215">
        <v>2</v>
      </c>
      <c r="S31" s="215"/>
      <c r="T31" s="215"/>
      <c r="U31" s="215"/>
      <c r="V31" s="207">
        <f t="shared" si="4"/>
        <v>32</v>
      </c>
      <c r="W31" s="217">
        <v>3</v>
      </c>
      <c r="X31" s="217">
        <v>4</v>
      </c>
      <c r="Y31" s="217">
        <v>3</v>
      </c>
      <c r="Z31" s="217">
        <v>2</v>
      </c>
      <c r="AA31" s="217">
        <v>1</v>
      </c>
      <c r="AB31" s="217">
        <v>1</v>
      </c>
      <c r="AC31" s="217">
        <v>1</v>
      </c>
      <c r="AD31" s="217">
        <v>1</v>
      </c>
      <c r="AE31" s="216">
        <v>3</v>
      </c>
      <c r="AF31" s="216"/>
      <c r="AG31" s="216"/>
      <c r="AH31" s="216">
        <v>3</v>
      </c>
      <c r="AI31" s="216"/>
      <c r="AJ31" s="216">
        <v>2</v>
      </c>
      <c r="AK31" s="216">
        <v>2</v>
      </c>
      <c r="AL31" s="216"/>
      <c r="AM31" s="216"/>
      <c r="AN31" s="216"/>
      <c r="AO31" s="209">
        <f t="shared" si="5"/>
        <v>31</v>
      </c>
      <c r="AP31" s="211">
        <v>4</v>
      </c>
      <c r="AQ31" s="211" t="s">
        <v>369</v>
      </c>
      <c r="AR31" s="211">
        <v>4</v>
      </c>
      <c r="AS31" s="211">
        <v>2</v>
      </c>
      <c r="AT31" s="211">
        <v>2</v>
      </c>
      <c r="AU31" s="211">
        <v>3</v>
      </c>
      <c r="AV31" s="211">
        <v>2</v>
      </c>
      <c r="AW31" s="211">
        <v>2</v>
      </c>
      <c r="AX31" s="211" t="s">
        <v>370</v>
      </c>
      <c r="AY31" s="211"/>
      <c r="AZ31" s="211"/>
      <c r="BA31" s="211" t="s">
        <v>370</v>
      </c>
      <c r="BB31" s="211"/>
      <c r="BC31" s="211">
        <v>3</v>
      </c>
      <c r="BD31" s="211">
        <v>3</v>
      </c>
      <c r="BE31" s="211"/>
      <c r="BF31" s="211"/>
      <c r="BG31" s="211"/>
      <c r="BH31" s="218">
        <v>0</v>
      </c>
    </row>
    <row r="32" spans="1:60" s="65" customFormat="1" x14ac:dyDescent="0.2">
      <c r="A32" s="38">
        <v>26</v>
      </c>
      <c r="B32" s="200" t="s">
        <v>215</v>
      </c>
      <c r="C32" s="201">
        <v>5</v>
      </c>
      <c r="D32" s="214">
        <v>3</v>
      </c>
      <c r="E32" s="214">
        <v>4</v>
      </c>
      <c r="F32" s="214">
        <v>3</v>
      </c>
      <c r="G32" s="214">
        <v>2</v>
      </c>
      <c r="H32" s="214">
        <v>1</v>
      </c>
      <c r="I32" s="214">
        <v>2</v>
      </c>
      <c r="J32" s="214">
        <v>1</v>
      </c>
      <c r="K32" s="214">
        <v>1</v>
      </c>
      <c r="L32" s="215">
        <v>3</v>
      </c>
      <c r="M32" s="215"/>
      <c r="N32" s="215"/>
      <c r="O32" s="216">
        <v>3</v>
      </c>
      <c r="P32" s="216"/>
      <c r="Q32" s="215">
        <v>2</v>
      </c>
      <c r="R32" s="215">
        <v>2</v>
      </c>
      <c r="S32" s="215"/>
      <c r="T32" s="215"/>
      <c r="U32" s="215"/>
      <c r="V32" s="207">
        <f t="shared" si="4"/>
        <v>32</v>
      </c>
      <c r="W32" s="217">
        <v>3</v>
      </c>
      <c r="X32" s="217">
        <v>4</v>
      </c>
      <c r="Y32" s="217">
        <v>3</v>
      </c>
      <c r="Z32" s="217">
        <v>2</v>
      </c>
      <c r="AA32" s="217">
        <v>1</v>
      </c>
      <c r="AB32" s="217">
        <v>1</v>
      </c>
      <c r="AC32" s="217">
        <v>1</v>
      </c>
      <c r="AD32" s="217">
        <v>1</v>
      </c>
      <c r="AE32" s="216">
        <v>3</v>
      </c>
      <c r="AF32" s="216"/>
      <c r="AG32" s="216"/>
      <c r="AH32" s="216">
        <v>3</v>
      </c>
      <c r="AI32" s="216"/>
      <c r="AJ32" s="216">
        <v>2</v>
      </c>
      <c r="AK32" s="216">
        <v>2</v>
      </c>
      <c r="AL32" s="216"/>
      <c r="AM32" s="216"/>
      <c r="AN32" s="216"/>
      <c r="AO32" s="209">
        <f t="shared" si="5"/>
        <v>31</v>
      </c>
      <c r="AP32" s="211">
        <v>4</v>
      </c>
      <c r="AQ32" s="211" t="s">
        <v>369</v>
      </c>
      <c r="AR32" s="211">
        <v>4</v>
      </c>
      <c r="AS32" s="211">
        <v>2</v>
      </c>
      <c r="AT32" s="211">
        <v>2</v>
      </c>
      <c r="AU32" s="211">
        <v>3</v>
      </c>
      <c r="AV32" s="211">
        <v>2</v>
      </c>
      <c r="AW32" s="211">
        <v>2</v>
      </c>
      <c r="AX32" s="211" t="s">
        <v>370</v>
      </c>
      <c r="AY32" s="211"/>
      <c r="AZ32" s="211"/>
      <c r="BA32" s="211" t="s">
        <v>370</v>
      </c>
      <c r="BB32" s="211"/>
      <c r="BC32" s="211">
        <v>3</v>
      </c>
      <c r="BD32" s="211">
        <v>3</v>
      </c>
      <c r="BE32" s="211"/>
      <c r="BF32" s="211"/>
      <c r="BG32" s="211"/>
      <c r="BH32" s="218">
        <v>0</v>
      </c>
    </row>
    <row r="33" spans="1:61" s="45" customFormat="1" x14ac:dyDescent="0.2">
      <c r="A33" s="38">
        <v>27</v>
      </c>
      <c r="B33" s="200" t="s">
        <v>219</v>
      </c>
      <c r="C33" s="201">
        <v>5</v>
      </c>
      <c r="D33" s="214">
        <v>3</v>
      </c>
      <c r="E33" s="214">
        <v>4</v>
      </c>
      <c r="F33" s="214">
        <v>3</v>
      </c>
      <c r="G33" s="214">
        <v>2</v>
      </c>
      <c r="H33" s="214">
        <v>1</v>
      </c>
      <c r="I33" s="214">
        <v>2</v>
      </c>
      <c r="J33" s="214">
        <v>1</v>
      </c>
      <c r="K33" s="214">
        <v>1</v>
      </c>
      <c r="L33" s="215">
        <v>3</v>
      </c>
      <c r="M33" s="215"/>
      <c r="N33" s="215"/>
      <c r="O33" s="216">
        <v>3</v>
      </c>
      <c r="P33" s="216">
        <v>2</v>
      </c>
      <c r="Q33" s="215">
        <v>2</v>
      </c>
      <c r="R33" s="215"/>
      <c r="S33" s="215"/>
      <c r="T33" s="215"/>
      <c r="U33" s="215"/>
      <c r="V33" s="207">
        <f t="shared" si="4"/>
        <v>32</v>
      </c>
      <c r="W33" s="217">
        <v>3</v>
      </c>
      <c r="X33" s="217">
        <v>4</v>
      </c>
      <c r="Y33" s="217">
        <v>3</v>
      </c>
      <c r="Z33" s="217">
        <v>2</v>
      </c>
      <c r="AA33" s="217">
        <v>1</v>
      </c>
      <c r="AB33" s="217">
        <v>1</v>
      </c>
      <c r="AC33" s="217">
        <v>1</v>
      </c>
      <c r="AD33" s="217">
        <v>1</v>
      </c>
      <c r="AE33" s="216">
        <v>3</v>
      </c>
      <c r="AF33" s="216"/>
      <c r="AG33" s="216"/>
      <c r="AH33" s="216">
        <v>3</v>
      </c>
      <c r="AI33" s="216">
        <v>2</v>
      </c>
      <c r="AJ33" s="216">
        <v>2</v>
      </c>
      <c r="AK33" s="216"/>
      <c r="AL33" s="216"/>
      <c r="AM33" s="216"/>
      <c r="AN33" s="216"/>
      <c r="AO33" s="209">
        <f t="shared" si="5"/>
        <v>31</v>
      </c>
      <c r="AP33" s="211">
        <v>4</v>
      </c>
      <c r="AQ33" s="211" t="s">
        <v>369</v>
      </c>
      <c r="AR33" s="211">
        <v>4</v>
      </c>
      <c r="AS33" s="211">
        <v>2</v>
      </c>
      <c r="AT33" s="211">
        <v>2</v>
      </c>
      <c r="AU33" s="211">
        <v>3</v>
      </c>
      <c r="AV33" s="211">
        <v>2</v>
      </c>
      <c r="AW33" s="211">
        <v>2</v>
      </c>
      <c r="AX33" s="211" t="s">
        <v>370</v>
      </c>
      <c r="AY33" s="211"/>
      <c r="AZ33" s="211"/>
      <c r="BA33" s="211" t="s">
        <v>370</v>
      </c>
      <c r="BB33" s="211">
        <v>3</v>
      </c>
      <c r="BC33" s="211">
        <v>3</v>
      </c>
      <c r="BD33" s="211"/>
      <c r="BE33" s="211"/>
      <c r="BF33" s="211"/>
      <c r="BG33" s="211"/>
      <c r="BH33" s="218">
        <v>0</v>
      </c>
    </row>
    <row r="34" spans="1:61" s="45" customFormat="1" x14ac:dyDescent="0.2">
      <c r="A34" s="38">
        <v>28</v>
      </c>
      <c r="B34" s="200" t="s">
        <v>478</v>
      </c>
      <c r="C34" s="201">
        <v>5</v>
      </c>
      <c r="D34" s="214">
        <v>3</v>
      </c>
      <c r="E34" s="214">
        <v>4</v>
      </c>
      <c r="F34" s="214">
        <v>3</v>
      </c>
      <c r="G34" s="214">
        <v>2</v>
      </c>
      <c r="H34" s="214">
        <v>1</v>
      </c>
      <c r="I34" s="214">
        <v>3</v>
      </c>
      <c r="J34" s="214">
        <v>1</v>
      </c>
      <c r="K34" s="214">
        <v>1</v>
      </c>
      <c r="L34" s="215">
        <v>2</v>
      </c>
      <c r="M34" s="215"/>
      <c r="N34" s="215"/>
      <c r="O34" s="216">
        <v>3</v>
      </c>
      <c r="P34" s="216">
        <v>2</v>
      </c>
      <c r="Q34" s="215"/>
      <c r="R34" s="215">
        <v>2</v>
      </c>
      <c r="S34" s="215"/>
      <c r="T34" s="215"/>
      <c r="U34" s="215"/>
      <c r="V34" s="207">
        <f t="shared" si="4"/>
        <v>32</v>
      </c>
      <c r="W34" s="217">
        <v>3</v>
      </c>
      <c r="X34" s="217">
        <v>4</v>
      </c>
      <c r="Y34" s="217">
        <v>3</v>
      </c>
      <c r="Z34" s="217">
        <v>2</v>
      </c>
      <c r="AA34" s="217">
        <v>1</v>
      </c>
      <c r="AB34" s="217">
        <v>2</v>
      </c>
      <c r="AC34" s="217">
        <v>1</v>
      </c>
      <c r="AD34" s="217">
        <v>1</v>
      </c>
      <c r="AE34" s="216">
        <v>2</v>
      </c>
      <c r="AF34" s="216"/>
      <c r="AG34" s="216"/>
      <c r="AH34" s="216">
        <v>3</v>
      </c>
      <c r="AI34" s="216">
        <v>2</v>
      </c>
      <c r="AJ34" s="216"/>
      <c r="AK34" s="216">
        <v>2</v>
      </c>
      <c r="AL34" s="216"/>
      <c r="AM34" s="216"/>
      <c r="AN34" s="216"/>
      <c r="AO34" s="209">
        <f t="shared" si="5"/>
        <v>31</v>
      </c>
      <c r="AP34" s="211">
        <v>4</v>
      </c>
      <c r="AQ34" s="211" t="s">
        <v>369</v>
      </c>
      <c r="AR34" s="211">
        <v>4</v>
      </c>
      <c r="AS34" s="211">
        <v>2</v>
      </c>
      <c r="AT34" s="211">
        <v>2</v>
      </c>
      <c r="AU34" s="211" t="s">
        <v>370</v>
      </c>
      <c r="AV34" s="211">
        <v>2</v>
      </c>
      <c r="AW34" s="211">
        <v>2</v>
      </c>
      <c r="AX34" s="211">
        <v>3</v>
      </c>
      <c r="AY34" s="211"/>
      <c r="AZ34" s="211"/>
      <c r="BA34" s="211" t="s">
        <v>370</v>
      </c>
      <c r="BB34" s="211">
        <v>3</v>
      </c>
      <c r="BC34" s="211"/>
      <c r="BD34" s="211">
        <v>3</v>
      </c>
      <c r="BE34" s="211"/>
      <c r="BF34" s="211"/>
      <c r="BG34" s="211"/>
      <c r="BH34" s="218">
        <v>0</v>
      </c>
    </row>
    <row r="35" spans="1:61" s="45" customFormat="1" hidden="1" x14ac:dyDescent="0.2">
      <c r="A35" s="38"/>
      <c r="B35" s="39"/>
      <c r="C35" s="6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207">
        <f t="shared" ref="V35:V36" si="6">SUM(C35:U35)</f>
        <v>0</v>
      </c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209">
        <f t="shared" si="1"/>
        <v>0</v>
      </c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6">
        <v>0</v>
      </c>
    </row>
    <row r="36" spans="1:61" s="45" customFormat="1" hidden="1" x14ac:dyDescent="0.2">
      <c r="A36" s="38"/>
      <c r="B36" s="39"/>
      <c r="C36" s="6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207">
        <f t="shared" si="6"/>
        <v>0</v>
      </c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209">
        <f t="shared" si="1"/>
        <v>0</v>
      </c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6">
        <v>0</v>
      </c>
    </row>
    <row r="37" spans="1:61" s="126" customFormat="1" ht="8.25" x14ac:dyDescent="0.15">
      <c r="A37" s="123"/>
      <c r="B37" s="124">
        <f>COUNTA(B7:B36)</f>
        <v>28</v>
      </c>
      <c r="C37" s="123">
        <f t="shared" ref="C37:BH37" si="7">SUM(C7:C36)</f>
        <v>140</v>
      </c>
      <c r="D37" s="258">
        <f>SUM(D7:D36)</f>
        <v>89</v>
      </c>
      <c r="E37" s="258">
        <f t="shared" ref="E37:AO37" si="8">SUM(E7:E36)</f>
        <v>112</v>
      </c>
      <c r="F37" s="258">
        <f t="shared" si="8"/>
        <v>84</v>
      </c>
      <c r="G37" s="258">
        <f t="shared" si="8"/>
        <v>56</v>
      </c>
      <c r="H37" s="258">
        <f t="shared" si="8"/>
        <v>28</v>
      </c>
      <c r="I37" s="258">
        <f t="shared" si="8"/>
        <v>49</v>
      </c>
      <c r="J37" s="258">
        <f t="shared" si="8"/>
        <v>28</v>
      </c>
      <c r="K37" s="258">
        <f t="shared" si="8"/>
        <v>28</v>
      </c>
      <c r="L37" s="258">
        <f t="shared" si="8"/>
        <v>55</v>
      </c>
      <c r="M37" s="258">
        <f t="shared" si="8"/>
        <v>48</v>
      </c>
      <c r="N37" s="258">
        <f t="shared" si="8"/>
        <v>30</v>
      </c>
      <c r="O37" s="258">
        <f t="shared" si="8"/>
        <v>39</v>
      </c>
      <c r="P37" s="258">
        <f t="shared" si="8"/>
        <v>22</v>
      </c>
      <c r="Q37" s="258">
        <f t="shared" si="8"/>
        <v>42</v>
      </c>
      <c r="R37" s="258">
        <f t="shared" si="8"/>
        <v>34</v>
      </c>
      <c r="S37" s="258">
        <f t="shared" si="8"/>
        <v>2</v>
      </c>
      <c r="T37" s="258">
        <f t="shared" si="8"/>
        <v>0</v>
      </c>
      <c r="U37" s="258">
        <f t="shared" si="8"/>
        <v>0</v>
      </c>
      <c r="V37" s="258">
        <f t="shared" si="8"/>
        <v>886</v>
      </c>
      <c r="W37" s="258">
        <f t="shared" si="8"/>
        <v>89</v>
      </c>
      <c r="X37" s="258">
        <f t="shared" si="8"/>
        <v>112</v>
      </c>
      <c r="Y37" s="258">
        <f t="shared" si="8"/>
        <v>84</v>
      </c>
      <c r="Z37" s="258">
        <f t="shared" si="8"/>
        <v>56</v>
      </c>
      <c r="AA37" s="258">
        <f t="shared" si="8"/>
        <v>28</v>
      </c>
      <c r="AB37" s="258">
        <f t="shared" si="8"/>
        <v>41</v>
      </c>
      <c r="AC37" s="258">
        <f t="shared" si="8"/>
        <v>28</v>
      </c>
      <c r="AD37" s="258">
        <f t="shared" si="8"/>
        <v>28</v>
      </c>
      <c r="AE37" s="258">
        <f t="shared" si="8"/>
        <v>55</v>
      </c>
      <c r="AF37" s="258">
        <f t="shared" si="8"/>
        <v>48</v>
      </c>
      <c r="AG37" s="258">
        <f t="shared" si="8"/>
        <v>30</v>
      </c>
      <c r="AH37" s="258">
        <f t="shared" si="8"/>
        <v>39</v>
      </c>
      <c r="AI37" s="258">
        <f t="shared" si="8"/>
        <v>22</v>
      </c>
      <c r="AJ37" s="258">
        <f t="shared" si="8"/>
        <v>42</v>
      </c>
      <c r="AK37" s="258">
        <f t="shared" si="8"/>
        <v>34</v>
      </c>
      <c r="AL37" s="258">
        <f t="shared" si="8"/>
        <v>2</v>
      </c>
      <c r="AM37" s="258">
        <f t="shared" si="8"/>
        <v>0</v>
      </c>
      <c r="AN37" s="258">
        <f t="shared" si="8"/>
        <v>0</v>
      </c>
      <c r="AO37" s="258">
        <f t="shared" si="8"/>
        <v>878</v>
      </c>
      <c r="AP37" s="125">
        <f t="shared" si="7"/>
        <v>92</v>
      </c>
      <c r="AQ37" s="125">
        <f t="shared" si="7"/>
        <v>0</v>
      </c>
      <c r="AR37" s="125">
        <f t="shared" si="7"/>
        <v>112</v>
      </c>
      <c r="AS37" s="125">
        <f t="shared" si="7"/>
        <v>56</v>
      </c>
      <c r="AT37" s="125">
        <f t="shared" si="7"/>
        <v>56</v>
      </c>
      <c r="AU37" s="125">
        <f t="shared" si="7"/>
        <v>75</v>
      </c>
      <c r="AV37" s="125">
        <f t="shared" si="7"/>
        <v>56</v>
      </c>
      <c r="AW37" s="125">
        <f t="shared" si="7"/>
        <v>56</v>
      </c>
      <c r="AX37" s="125">
        <f t="shared" si="7"/>
        <v>57</v>
      </c>
      <c r="AY37" s="125">
        <f t="shared" si="7"/>
        <v>0</v>
      </c>
      <c r="AZ37" s="125">
        <f t="shared" si="7"/>
        <v>0</v>
      </c>
      <c r="BA37" s="125">
        <f t="shared" si="7"/>
        <v>0</v>
      </c>
      <c r="BB37" s="125">
        <f t="shared" si="7"/>
        <v>36</v>
      </c>
      <c r="BC37" s="125">
        <f t="shared" si="7"/>
        <v>63</v>
      </c>
      <c r="BD37" s="125">
        <f t="shared" si="7"/>
        <v>51</v>
      </c>
      <c r="BE37" s="125">
        <f t="shared" si="7"/>
        <v>3</v>
      </c>
      <c r="BF37" s="125">
        <f t="shared" si="7"/>
        <v>0</v>
      </c>
      <c r="BG37" s="125">
        <f t="shared" si="7"/>
        <v>0</v>
      </c>
      <c r="BH37" s="125">
        <f t="shared" si="7"/>
        <v>0</v>
      </c>
    </row>
    <row r="38" spans="1:61" ht="15.75" x14ac:dyDescent="0.25">
      <c r="A38" s="672" t="s">
        <v>342</v>
      </c>
      <c r="B38" s="673"/>
      <c r="C38" s="673"/>
      <c r="D38" s="673"/>
      <c r="E38" s="673"/>
      <c r="F38" s="673"/>
      <c r="G38" s="673"/>
      <c r="H38" s="673"/>
      <c r="I38" s="673"/>
      <c r="J38" s="673"/>
      <c r="K38" s="673"/>
      <c r="L38" s="673"/>
      <c r="M38" s="673"/>
      <c r="N38" s="673"/>
      <c r="O38" s="673"/>
      <c r="P38" s="673"/>
      <c r="Q38" s="673"/>
      <c r="R38" s="673"/>
      <c r="S38" s="673"/>
      <c r="T38" s="673"/>
      <c r="U38" s="673"/>
      <c r="V38" s="673"/>
      <c r="W38" s="673"/>
      <c r="X38" s="673"/>
      <c r="Y38" s="673"/>
      <c r="Z38" s="673"/>
      <c r="AA38" s="673"/>
      <c r="AB38" s="673"/>
      <c r="AC38" s="673"/>
      <c r="AD38" s="673"/>
      <c r="AE38" s="673"/>
      <c r="AF38" s="673"/>
      <c r="AG38" s="673"/>
      <c r="AH38" s="673"/>
      <c r="AI38" s="673"/>
      <c r="AJ38" s="673"/>
      <c r="AK38" s="673"/>
      <c r="AL38" s="673"/>
      <c r="AM38" s="673"/>
      <c r="AN38" s="673"/>
      <c r="AO38" s="673"/>
      <c r="AP38" s="673"/>
      <c r="AQ38" s="673"/>
      <c r="AR38" s="673"/>
      <c r="AS38" s="673"/>
      <c r="AT38" s="673"/>
      <c r="AU38" s="673"/>
      <c r="AV38" s="673"/>
      <c r="AW38" s="673"/>
      <c r="AX38" s="673"/>
      <c r="AY38" s="673"/>
      <c r="AZ38" s="673"/>
      <c r="BA38" s="673"/>
      <c r="BB38" s="673"/>
      <c r="BC38" s="673"/>
      <c r="BD38" s="673"/>
      <c r="BE38" s="673"/>
      <c r="BF38" s="673"/>
      <c r="BG38" s="673"/>
      <c r="BH38" s="674"/>
    </row>
    <row r="39" spans="1:61" s="105" customFormat="1" ht="10.5" customHeight="1" x14ac:dyDescent="0.2">
      <c r="A39" s="636" t="s">
        <v>2</v>
      </c>
      <c r="B39" s="636" t="s">
        <v>316</v>
      </c>
      <c r="C39" s="636"/>
      <c r="D39" s="614" t="s">
        <v>112</v>
      </c>
      <c r="E39" s="614"/>
      <c r="F39" s="614"/>
      <c r="G39" s="614"/>
      <c r="H39" s="614"/>
      <c r="I39" s="614"/>
      <c r="J39" s="632" t="s">
        <v>419</v>
      </c>
      <c r="K39" s="633"/>
      <c r="L39" s="633"/>
      <c r="M39" s="633"/>
      <c r="N39" s="633"/>
      <c r="O39" s="633"/>
      <c r="P39" s="633">
        <f>SUM(J41:O50)</f>
        <v>28</v>
      </c>
      <c r="Q39" s="665"/>
      <c r="R39" s="666" t="s">
        <v>420</v>
      </c>
      <c r="S39" s="667"/>
      <c r="T39" s="667"/>
      <c r="U39" s="667"/>
      <c r="V39" s="667"/>
      <c r="W39" s="667"/>
      <c r="X39" s="667">
        <f>SUM(R41:W50)</f>
        <v>28</v>
      </c>
      <c r="Y39" s="668"/>
      <c r="Z39" s="614" t="s">
        <v>11</v>
      </c>
      <c r="AA39" s="614"/>
      <c r="AB39" s="614"/>
      <c r="AC39" s="614"/>
      <c r="AD39" s="614" t="s">
        <v>324</v>
      </c>
      <c r="AE39" s="614"/>
      <c r="AF39" s="614"/>
      <c r="AG39" s="614"/>
      <c r="AH39" s="622" t="s">
        <v>368</v>
      </c>
      <c r="AI39" s="622"/>
      <c r="AJ39" s="622"/>
      <c r="AK39" s="622"/>
      <c r="AL39" s="614" t="s">
        <v>322</v>
      </c>
      <c r="AM39" s="614"/>
      <c r="AN39" s="614"/>
      <c r="AO39" s="614"/>
      <c r="AP39" s="679" t="s">
        <v>383</v>
      </c>
      <c r="AQ39" s="680"/>
      <c r="AR39" s="680"/>
      <c r="AS39" s="680"/>
      <c r="AT39" s="680"/>
      <c r="AU39" s="681"/>
      <c r="AV39" s="679" t="s">
        <v>113</v>
      </c>
      <c r="AW39" s="680"/>
      <c r="AX39" s="680"/>
      <c r="AY39" s="681"/>
      <c r="AZ39" s="679" t="s">
        <v>379</v>
      </c>
      <c r="BA39" s="680"/>
      <c r="BB39" s="680"/>
      <c r="BC39" s="680"/>
      <c r="BD39" s="680"/>
      <c r="BE39" s="681"/>
      <c r="BF39" s="689" t="s">
        <v>433</v>
      </c>
      <c r="BG39" s="690"/>
      <c r="BH39" s="691"/>
    </row>
    <row r="40" spans="1:61" x14ac:dyDescent="0.2">
      <c r="A40" s="636"/>
      <c r="B40" s="636"/>
      <c r="C40" s="636"/>
      <c r="D40" s="661" t="s">
        <v>184</v>
      </c>
      <c r="E40" s="661"/>
      <c r="F40" s="636" t="s">
        <v>317</v>
      </c>
      <c r="G40" s="636"/>
      <c r="H40" s="641" t="s">
        <v>318</v>
      </c>
      <c r="I40" s="641"/>
      <c r="J40" s="634" t="s">
        <v>377</v>
      </c>
      <c r="K40" s="635"/>
      <c r="L40" s="634" t="s">
        <v>378</v>
      </c>
      <c r="M40" s="635"/>
      <c r="N40" s="634" t="s">
        <v>376</v>
      </c>
      <c r="O40" s="635"/>
      <c r="P40" s="634" t="s">
        <v>418</v>
      </c>
      <c r="Q40" s="635"/>
      <c r="R40" s="628" t="s">
        <v>377</v>
      </c>
      <c r="S40" s="629"/>
      <c r="T40" s="628" t="s">
        <v>378</v>
      </c>
      <c r="U40" s="629"/>
      <c r="V40" s="628" t="s">
        <v>376</v>
      </c>
      <c r="W40" s="629"/>
      <c r="X40" s="628" t="s">
        <v>418</v>
      </c>
      <c r="Y40" s="629"/>
      <c r="Z40" s="618" t="s">
        <v>317</v>
      </c>
      <c r="AA40" s="618"/>
      <c r="AB40" s="620" t="s">
        <v>318</v>
      </c>
      <c r="AC40" s="620"/>
      <c r="AD40" s="676" t="s">
        <v>421</v>
      </c>
      <c r="AE40" s="677"/>
      <c r="AF40" s="676" t="s">
        <v>422</v>
      </c>
      <c r="AG40" s="677"/>
      <c r="AH40" s="620" t="s">
        <v>421</v>
      </c>
      <c r="AI40" s="620"/>
      <c r="AJ40" s="620" t="s">
        <v>422</v>
      </c>
      <c r="AK40" s="620"/>
      <c r="AL40" s="618" t="s">
        <v>317</v>
      </c>
      <c r="AM40" s="618"/>
      <c r="AN40" s="620" t="s">
        <v>318</v>
      </c>
      <c r="AO40" s="620"/>
      <c r="AP40" s="636" t="s">
        <v>377</v>
      </c>
      <c r="AQ40" s="636"/>
      <c r="AR40" s="641" t="s">
        <v>378</v>
      </c>
      <c r="AS40" s="641"/>
      <c r="AT40" s="687" t="s">
        <v>376</v>
      </c>
      <c r="AU40" s="688"/>
      <c r="AV40" s="676" t="s">
        <v>380</v>
      </c>
      <c r="AW40" s="677"/>
      <c r="AX40" s="687" t="s">
        <v>381</v>
      </c>
      <c r="AY40" s="688"/>
      <c r="AZ40" s="676" t="s">
        <v>380</v>
      </c>
      <c r="BA40" s="677"/>
      <c r="BB40" s="628" t="s">
        <v>381</v>
      </c>
      <c r="BC40" s="629"/>
      <c r="BD40" s="634" t="s">
        <v>382</v>
      </c>
      <c r="BE40" s="635"/>
      <c r="BF40" s="692"/>
      <c r="BG40" s="693"/>
      <c r="BH40" s="694"/>
    </row>
    <row r="41" spans="1:61" x14ac:dyDescent="0.2">
      <c r="A41" s="180">
        <v>1</v>
      </c>
      <c r="B41" s="640" t="s">
        <v>105</v>
      </c>
      <c r="C41" s="640"/>
      <c r="D41" s="644">
        <v>12</v>
      </c>
      <c r="E41" s="644"/>
      <c r="F41" s="615">
        <v>12</v>
      </c>
      <c r="G41" s="615"/>
      <c r="H41" s="612">
        <v>12</v>
      </c>
      <c r="I41" s="612"/>
      <c r="J41" s="626">
        <v>2</v>
      </c>
      <c r="K41" s="627"/>
      <c r="L41" s="626">
        <v>2</v>
      </c>
      <c r="M41" s="627"/>
      <c r="N41" s="626">
        <v>2</v>
      </c>
      <c r="O41" s="627"/>
      <c r="P41" s="638">
        <f>SUM(J41:O41)*5</f>
        <v>30</v>
      </c>
      <c r="Q41" s="639"/>
      <c r="R41" s="642">
        <v>2</v>
      </c>
      <c r="S41" s="643"/>
      <c r="T41" s="642">
        <v>2</v>
      </c>
      <c r="U41" s="643"/>
      <c r="V41" s="642">
        <v>2</v>
      </c>
      <c r="W41" s="643"/>
      <c r="X41" s="616">
        <f>SUM(R41:W41)*5</f>
        <v>30</v>
      </c>
      <c r="Y41" s="617"/>
      <c r="Z41" s="647">
        <f ca="1">SUMIF(CBGV!$H$4:$O$68,"Toán - tin",CBGV!$O$4:$O$68)</f>
        <v>12</v>
      </c>
      <c r="AA41" s="647"/>
      <c r="AB41" s="646">
        <f ca="1">SUMIF(CBGV!$H$4:$O$68,"Toán - tin",CBGV!$O$4:$O$68)</f>
        <v>12</v>
      </c>
      <c r="AC41" s="646"/>
      <c r="AD41" s="621">
        <v>8</v>
      </c>
      <c r="AE41" s="621"/>
      <c r="AF41" s="645">
        <f>AD41*1</f>
        <v>8</v>
      </c>
      <c r="AG41" s="645"/>
      <c r="AH41" s="623">
        <v>8</v>
      </c>
      <c r="AI41" s="623"/>
      <c r="AJ41" s="624">
        <f>AH41*1</f>
        <v>8</v>
      </c>
      <c r="AK41" s="625"/>
      <c r="AL41" s="612">
        <f>E37+Q37</f>
        <v>154</v>
      </c>
      <c r="AM41" s="612"/>
      <c r="AN41" s="619">
        <f>X37+AJ37</f>
        <v>154</v>
      </c>
      <c r="AO41" s="619"/>
      <c r="AP41" s="657"/>
      <c r="AQ41" s="657"/>
      <c r="AR41" s="613"/>
      <c r="AS41" s="613"/>
      <c r="AT41" s="610"/>
      <c r="AU41" s="611"/>
      <c r="AV41" s="607">
        <f ca="1">P41+Z41+AF41+AL41+AP41+AR41+AT41</f>
        <v>204</v>
      </c>
      <c r="AW41" s="608"/>
      <c r="AX41" s="670">
        <f ca="1">X41+AB41+AJ41+AN41+AP41+AR41+AT41</f>
        <v>204</v>
      </c>
      <c r="AY41" s="671"/>
      <c r="AZ41" s="607">
        <f ca="1">AV41/F41</f>
        <v>17</v>
      </c>
      <c r="BA41" s="608"/>
      <c r="BB41" s="682">
        <f ca="1">AX41/H41</f>
        <v>17</v>
      </c>
      <c r="BC41" s="683"/>
      <c r="BD41" s="684">
        <f ca="1">(AZ41*18+BB41*17)/35</f>
        <v>17</v>
      </c>
      <c r="BE41" s="685"/>
      <c r="BF41" s="682">
        <f ca="1">(BD41-17)*D41</f>
        <v>0</v>
      </c>
      <c r="BG41" s="686"/>
      <c r="BH41" s="629"/>
      <c r="BI41" s="37">
        <f ca="1">BF41*35</f>
        <v>0</v>
      </c>
    </row>
    <row r="42" spans="1:61" x14ac:dyDescent="0.2">
      <c r="A42" s="180">
        <v>2</v>
      </c>
      <c r="B42" s="640" t="s">
        <v>106</v>
      </c>
      <c r="C42" s="640"/>
      <c r="D42" s="644">
        <v>7</v>
      </c>
      <c r="E42" s="644"/>
      <c r="F42" s="615">
        <v>7</v>
      </c>
      <c r="G42" s="615"/>
      <c r="H42" s="612">
        <v>7</v>
      </c>
      <c r="I42" s="612"/>
      <c r="J42" s="626">
        <v>1</v>
      </c>
      <c r="K42" s="627"/>
      <c r="L42" s="626">
        <v>1</v>
      </c>
      <c r="M42" s="627"/>
      <c r="N42" s="626">
        <v>2</v>
      </c>
      <c r="O42" s="627"/>
      <c r="P42" s="638">
        <f t="shared" ref="P42:P50" si="9">SUM(J42:O42)*5</f>
        <v>20</v>
      </c>
      <c r="Q42" s="639"/>
      <c r="R42" s="642">
        <v>1</v>
      </c>
      <c r="S42" s="643"/>
      <c r="T42" s="642">
        <v>1</v>
      </c>
      <c r="U42" s="643"/>
      <c r="V42" s="642">
        <v>2</v>
      </c>
      <c r="W42" s="643"/>
      <c r="X42" s="616">
        <f t="shared" ref="X42:X50" si="10">SUM(R42:W42)*5</f>
        <v>20</v>
      </c>
      <c r="Y42" s="617"/>
      <c r="Z42" s="647">
        <f ca="1">SUMIF(CBGV!$H$4:$O$68,"Lý - CN",CBGV!$O$4:$O$68)</f>
        <v>6</v>
      </c>
      <c r="AA42" s="647"/>
      <c r="AB42" s="646">
        <f ca="1">SUMIF(CBGV!$H$4:$O$68,"Lý - CN",CBGV!$O$4:$O$68)</f>
        <v>6</v>
      </c>
      <c r="AC42" s="646"/>
      <c r="AD42" s="630">
        <v>4</v>
      </c>
      <c r="AE42" s="631"/>
      <c r="AF42" s="645">
        <f>AD42*1</f>
        <v>4</v>
      </c>
      <c r="AG42" s="645"/>
      <c r="AH42" s="623">
        <v>4</v>
      </c>
      <c r="AI42" s="623"/>
      <c r="AJ42" s="624">
        <f>AH42*1</f>
        <v>4</v>
      </c>
      <c r="AK42" s="625"/>
      <c r="AL42" s="612">
        <f>L37+R37</f>
        <v>89</v>
      </c>
      <c r="AM42" s="612"/>
      <c r="AN42" s="624">
        <f>AE37+AK37</f>
        <v>89</v>
      </c>
      <c r="AO42" s="625"/>
      <c r="AP42" s="657"/>
      <c r="AQ42" s="657"/>
      <c r="AR42" s="613"/>
      <c r="AS42" s="613"/>
      <c r="AT42" s="610"/>
      <c r="AU42" s="611"/>
      <c r="AV42" s="607">
        <f t="shared" ref="AV42:AV50" ca="1" si="11">P42+Z42+AF42+AL42+AP42+AR42+AT42</f>
        <v>119</v>
      </c>
      <c r="AW42" s="608"/>
      <c r="AX42" s="670">
        <f t="shared" ref="AX42:AX50" ca="1" si="12">X42+AB42+AJ42+AN42+AP42+AR42+AT42</f>
        <v>119</v>
      </c>
      <c r="AY42" s="671"/>
      <c r="AZ42" s="607">
        <f t="shared" ref="AZ42:AZ50" ca="1" si="13">AV42/F42</f>
        <v>17</v>
      </c>
      <c r="BA42" s="608"/>
      <c r="BB42" s="682">
        <f t="shared" ref="BB42:BB50" ca="1" si="14">AX42/H42</f>
        <v>17</v>
      </c>
      <c r="BC42" s="683"/>
      <c r="BD42" s="684">
        <f t="shared" ref="BD42:BD50" ca="1" si="15">(AZ42*18+BB42*17)/35</f>
        <v>17</v>
      </c>
      <c r="BE42" s="685"/>
      <c r="BF42" s="682">
        <f t="shared" ref="BF42:BF50" ca="1" si="16">(BD42-17)*D42</f>
        <v>0</v>
      </c>
      <c r="BG42" s="686"/>
      <c r="BH42" s="629"/>
      <c r="BI42" s="37">
        <f t="shared" ref="BI42:BI50" ca="1" si="17">BF42*35</f>
        <v>0</v>
      </c>
    </row>
    <row r="43" spans="1:61" x14ac:dyDescent="0.2">
      <c r="A43" s="180">
        <v>3</v>
      </c>
      <c r="B43" s="640" t="s">
        <v>107</v>
      </c>
      <c r="C43" s="640"/>
      <c r="D43" s="644">
        <v>5</v>
      </c>
      <c r="E43" s="644"/>
      <c r="F43" s="615">
        <v>5</v>
      </c>
      <c r="G43" s="615"/>
      <c r="H43" s="612">
        <v>5</v>
      </c>
      <c r="I43" s="612"/>
      <c r="J43" s="626">
        <v>1</v>
      </c>
      <c r="K43" s="627"/>
      <c r="L43" s="626">
        <v>1</v>
      </c>
      <c r="M43" s="627"/>
      <c r="N43" s="626">
        <v>2</v>
      </c>
      <c r="O43" s="627"/>
      <c r="P43" s="638">
        <f t="shared" si="9"/>
        <v>20</v>
      </c>
      <c r="Q43" s="639"/>
      <c r="R43" s="642">
        <v>1</v>
      </c>
      <c r="S43" s="643"/>
      <c r="T43" s="642">
        <v>1</v>
      </c>
      <c r="U43" s="643"/>
      <c r="V43" s="642">
        <v>2</v>
      </c>
      <c r="W43" s="643"/>
      <c r="X43" s="616">
        <f t="shared" si="10"/>
        <v>20</v>
      </c>
      <c r="Y43" s="617"/>
      <c r="Z43" s="647">
        <f ca="1">SUMIF(CBGV!$H$4:$O$68,"Hóa học",CBGV!$O$4:$O$68)</f>
        <v>15</v>
      </c>
      <c r="AA43" s="647"/>
      <c r="AB43" s="646">
        <f ca="1">SUMIF(CBGV!$H$4:$O$68,"Hóa học",CBGV!$O$4:$O$68)</f>
        <v>15</v>
      </c>
      <c r="AC43" s="646"/>
      <c r="AD43" s="630">
        <v>2</v>
      </c>
      <c r="AE43" s="631"/>
      <c r="AF43" s="645">
        <f t="shared" ref="AF43:AF50" si="18">AD43*1</f>
        <v>2</v>
      </c>
      <c r="AG43" s="645"/>
      <c r="AH43" s="623">
        <v>2</v>
      </c>
      <c r="AI43" s="623"/>
      <c r="AJ43" s="624">
        <f>AH43*1</f>
        <v>2</v>
      </c>
      <c r="AK43" s="625"/>
      <c r="AL43" s="612">
        <f>M37</f>
        <v>48</v>
      </c>
      <c r="AM43" s="612"/>
      <c r="AN43" s="624">
        <f>AF37</f>
        <v>48</v>
      </c>
      <c r="AO43" s="625"/>
      <c r="AP43" s="657"/>
      <c r="AQ43" s="657"/>
      <c r="AR43" s="613"/>
      <c r="AS43" s="613"/>
      <c r="AT43" s="610"/>
      <c r="AU43" s="611"/>
      <c r="AV43" s="607">
        <f t="shared" ca="1" si="11"/>
        <v>85</v>
      </c>
      <c r="AW43" s="608"/>
      <c r="AX43" s="670">
        <f t="shared" ca="1" si="12"/>
        <v>85</v>
      </c>
      <c r="AY43" s="671"/>
      <c r="AZ43" s="607">
        <f t="shared" ca="1" si="13"/>
        <v>17</v>
      </c>
      <c r="BA43" s="608"/>
      <c r="BB43" s="682">
        <f t="shared" ca="1" si="14"/>
        <v>17</v>
      </c>
      <c r="BC43" s="683"/>
      <c r="BD43" s="684">
        <f t="shared" ca="1" si="15"/>
        <v>17</v>
      </c>
      <c r="BE43" s="685"/>
      <c r="BF43" s="682">
        <f t="shared" ca="1" si="16"/>
        <v>0</v>
      </c>
      <c r="BG43" s="686"/>
      <c r="BH43" s="629"/>
      <c r="BI43" s="37">
        <f t="shared" ca="1" si="17"/>
        <v>0</v>
      </c>
    </row>
    <row r="44" spans="1:61" x14ac:dyDescent="0.2">
      <c r="A44" s="180">
        <v>4</v>
      </c>
      <c r="B44" s="640" t="s">
        <v>108</v>
      </c>
      <c r="C44" s="640"/>
      <c r="D44" s="644">
        <v>4</v>
      </c>
      <c r="E44" s="644"/>
      <c r="F44" s="615">
        <v>4</v>
      </c>
      <c r="G44" s="615"/>
      <c r="H44" s="612">
        <v>4</v>
      </c>
      <c r="I44" s="612"/>
      <c r="J44" s="626"/>
      <c r="K44" s="627"/>
      <c r="L44" s="626">
        <v>1</v>
      </c>
      <c r="M44" s="627"/>
      <c r="N44" s="626">
        <v>1</v>
      </c>
      <c r="O44" s="627"/>
      <c r="P44" s="638">
        <f t="shared" si="9"/>
        <v>10</v>
      </c>
      <c r="Q44" s="639"/>
      <c r="R44" s="642"/>
      <c r="S44" s="643"/>
      <c r="T44" s="642">
        <v>1</v>
      </c>
      <c r="U44" s="643"/>
      <c r="V44" s="642">
        <v>1</v>
      </c>
      <c r="W44" s="643"/>
      <c r="X44" s="616">
        <f t="shared" si="10"/>
        <v>10</v>
      </c>
      <c r="Y44" s="617"/>
      <c r="Z44" s="647">
        <f ca="1">SUMIF(CBGV!$H$4:$O$68,"Sinh - CN",CBGV!$O$4:$O$68)</f>
        <v>19</v>
      </c>
      <c r="AA44" s="647"/>
      <c r="AB44" s="646">
        <f ca="1">SUMIF(CBGV!$H$4:$O$68,"Sinh - CN",CBGV!$O$4:$O$68)</f>
        <v>19</v>
      </c>
      <c r="AC44" s="646"/>
      <c r="AD44" s="630">
        <v>3</v>
      </c>
      <c r="AE44" s="631"/>
      <c r="AF44" s="645">
        <f t="shared" si="18"/>
        <v>3</v>
      </c>
      <c r="AG44" s="645"/>
      <c r="AH44" s="623">
        <v>3</v>
      </c>
      <c r="AI44" s="623"/>
      <c r="AJ44" s="624">
        <f t="shared" ref="AJ44:AJ50" si="19">AH44*1</f>
        <v>3</v>
      </c>
      <c r="AK44" s="625"/>
      <c r="AL44" s="647">
        <f>N37+S37</f>
        <v>32</v>
      </c>
      <c r="AM44" s="612"/>
      <c r="AN44" s="648">
        <f>AG37+AL37</f>
        <v>32</v>
      </c>
      <c r="AO44" s="625"/>
      <c r="AP44" s="609"/>
      <c r="AQ44" s="609"/>
      <c r="AR44" s="653"/>
      <c r="AS44" s="653"/>
      <c r="AT44" s="609"/>
      <c r="AU44" s="609"/>
      <c r="AV44" s="607">
        <f ca="1">P44+Z44+AF44+AL44+AP44+AR44+AT44</f>
        <v>64</v>
      </c>
      <c r="AW44" s="608"/>
      <c r="AX44" s="670">
        <f t="shared" ca="1" si="12"/>
        <v>64</v>
      </c>
      <c r="AY44" s="671"/>
      <c r="AZ44" s="607">
        <f t="shared" ca="1" si="13"/>
        <v>16</v>
      </c>
      <c r="BA44" s="608"/>
      <c r="BB44" s="682">
        <f t="shared" ca="1" si="14"/>
        <v>16</v>
      </c>
      <c r="BC44" s="683"/>
      <c r="BD44" s="684">
        <f t="shared" ca="1" si="15"/>
        <v>16</v>
      </c>
      <c r="BE44" s="685"/>
      <c r="BF44" s="682">
        <f t="shared" ca="1" si="16"/>
        <v>-4</v>
      </c>
      <c r="BG44" s="686"/>
      <c r="BH44" s="629"/>
      <c r="BI44" s="37">
        <f t="shared" ca="1" si="17"/>
        <v>-140</v>
      </c>
    </row>
    <row r="45" spans="1:61" ht="11.25" customHeight="1" x14ac:dyDescent="0.2">
      <c r="A45" s="180">
        <v>5</v>
      </c>
      <c r="B45" s="640" t="s">
        <v>109</v>
      </c>
      <c r="C45" s="640"/>
      <c r="D45" s="644">
        <v>8</v>
      </c>
      <c r="E45" s="644"/>
      <c r="F45" s="615">
        <v>8</v>
      </c>
      <c r="G45" s="615"/>
      <c r="H45" s="612">
        <v>8</v>
      </c>
      <c r="I45" s="612"/>
      <c r="J45" s="626">
        <v>1</v>
      </c>
      <c r="K45" s="627"/>
      <c r="L45" s="626">
        <v>2</v>
      </c>
      <c r="M45" s="627"/>
      <c r="N45" s="626"/>
      <c r="O45" s="627"/>
      <c r="P45" s="638">
        <f t="shared" si="9"/>
        <v>15</v>
      </c>
      <c r="Q45" s="639"/>
      <c r="R45" s="642">
        <v>1</v>
      </c>
      <c r="S45" s="643"/>
      <c r="T45" s="642">
        <v>2</v>
      </c>
      <c r="U45" s="643"/>
      <c r="V45" s="642"/>
      <c r="W45" s="643"/>
      <c r="X45" s="616">
        <f t="shared" si="10"/>
        <v>15</v>
      </c>
      <c r="Y45" s="617"/>
      <c r="Z45" s="647">
        <f ca="1">SUMIF(CBGV!$H$4:$O$68,"Ngữ văn",CBGV!$O$4:$O$68)</f>
        <v>32</v>
      </c>
      <c r="AA45" s="647"/>
      <c r="AB45" s="646">
        <f ca="1">SUMIF(CBGV!$H$4:$O$68,"Ngữ văn",CBGV!$O$4:$O$68)</f>
        <v>32</v>
      </c>
      <c r="AC45" s="646"/>
      <c r="AD45" s="630">
        <v>5</v>
      </c>
      <c r="AE45" s="631"/>
      <c r="AF45" s="645">
        <f t="shared" si="18"/>
        <v>5</v>
      </c>
      <c r="AG45" s="645"/>
      <c r="AH45" s="623">
        <v>5</v>
      </c>
      <c r="AI45" s="623"/>
      <c r="AJ45" s="624">
        <f t="shared" ref="AJ45" si="20">AH45*1</f>
        <v>5</v>
      </c>
      <c r="AK45" s="625"/>
      <c r="AL45" s="612">
        <f>D37</f>
        <v>89</v>
      </c>
      <c r="AM45" s="612"/>
      <c r="AN45" s="624">
        <f>W37</f>
        <v>89</v>
      </c>
      <c r="AO45" s="625"/>
      <c r="AP45" s="609">
        <f>(10*8)/35</f>
        <v>2.2857142857142856</v>
      </c>
      <c r="AQ45" s="609"/>
      <c r="AR45" s="653">
        <f>(10*10)/35</f>
        <v>2.8571428571428572</v>
      </c>
      <c r="AS45" s="653"/>
      <c r="AT45" s="651">
        <f>(10*10)/35</f>
        <v>2.8571428571428572</v>
      </c>
      <c r="AU45" s="652"/>
      <c r="AV45" s="607">
        <f t="shared" ca="1" si="11"/>
        <v>149</v>
      </c>
      <c r="AW45" s="608"/>
      <c r="AX45" s="670">
        <f t="shared" ca="1" si="12"/>
        <v>149</v>
      </c>
      <c r="AY45" s="671"/>
      <c r="AZ45" s="607">
        <f t="shared" ca="1" si="13"/>
        <v>18.625</v>
      </c>
      <c r="BA45" s="608"/>
      <c r="BB45" s="682">
        <f t="shared" ca="1" si="14"/>
        <v>18.625</v>
      </c>
      <c r="BC45" s="683"/>
      <c r="BD45" s="684">
        <f t="shared" ca="1" si="15"/>
        <v>18.625</v>
      </c>
      <c r="BE45" s="685"/>
      <c r="BF45" s="682">
        <f t="shared" ca="1" si="16"/>
        <v>13</v>
      </c>
      <c r="BG45" s="686"/>
      <c r="BH45" s="629"/>
      <c r="BI45" s="37">
        <f t="shared" ca="1" si="17"/>
        <v>455</v>
      </c>
    </row>
    <row r="46" spans="1:61" ht="10.5" customHeight="1" x14ac:dyDescent="0.2">
      <c r="A46" s="180">
        <v>6</v>
      </c>
      <c r="B46" s="640" t="s">
        <v>457</v>
      </c>
      <c r="C46" s="640"/>
      <c r="D46" s="619">
        <v>3</v>
      </c>
      <c r="E46" s="619"/>
      <c r="F46" s="615">
        <v>3</v>
      </c>
      <c r="G46" s="615"/>
      <c r="H46" s="612">
        <v>3</v>
      </c>
      <c r="I46" s="612"/>
      <c r="J46" s="626">
        <v>1</v>
      </c>
      <c r="K46" s="627"/>
      <c r="L46" s="626"/>
      <c r="M46" s="627"/>
      <c r="N46" s="626">
        <v>1</v>
      </c>
      <c r="O46" s="627"/>
      <c r="P46" s="638">
        <f t="shared" si="9"/>
        <v>10</v>
      </c>
      <c r="Q46" s="639"/>
      <c r="R46" s="642">
        <v>1</v>
      </c>
      <c r="S46" s="643"/>
      <c r="T46" s="642"/>
      <c r="U46" s="643"/>
      <c r="V46" s="642">
        <v>1</v>
      </c>
      <c r="W46" s="643"/>
      <c r="X46" s="616">
        <f t="shared" si="10"/>
        <v>10</v>
      </c>
      <c r="Y46" s="617"/>
      <c r="Z46" s="647">
        <f ca="1">SUMIF(CBGV!$H$4:$O$68,"Sử",CBGV!$O$4:$O$68)</f>
        <v>3</v>
      </c>
      <c r="AA46" s="647"/>
      <c r="AB46" s="646">
        <f ca="1">SUMIF(CBGV!$H$4:$O$68,"Sử",CBGV!$O$4:$O$68)</f>
        <v>3</v>
      </c>
      <c r="AC46" s="646"/>
      <c r="AD46" s="630">
        <v>2</v>
      </c>
      <c r="AE46" s="631"/>
      <c r="AF46" s="645">
        <f t="shared" si="18"/>
        <v>2</v>
      </c>
      <c r="AG46" s="645"/>
      <c r="AH46" s="623">
        <v>2</v>
      </c>
      <c r="AI46" s="623"/>
      <c r="AJ46" s="624">
        <f t="shared" si="19"/>
        <v>2</v>
      </c>
      <c r="AK46" s="625"/>
      <c r="AL46" s="612">
        <f>I37</f>
        <v>49</v>
      </c>
      <c r="AM46" s="612"/>
      <c r="AN46" s="624">
        <f>AB37</f>
        <v>41</v>
      </c>
      <c r="AO46" s="625"/>
      <c r="AP46" s="609">
        <f>(10*8)/35</f>
        <v>2.2857142857142856</v>
      </c>
      <c r="AQ46" s="609"/>
      <c r="AR46" s="653">
        <f>(10*10)/35</f>
        <v>2.8571428571428572</v>
      </c>
      <c r="AS46" s="653"/>
      <c r="AT46" s="651">
        <f>(10*10)/35</f>
        <v>2.8571428571428572</v>
      </c>
      <c r="AU46" s="652"/>
      <c r="AV46" s="607">
        <f t="shared" ca="1" si="11"/>
        <v>72.000000000000014</v>
      </c>
      <c r="AW46" s="608"/>
      <c r="AX46" s="670">
        <f t="shared" ca="1" si="12"/>
        <v>63.999999999999993</v>
      </c>
      <c r="AY46" s="671"/>
      <c r="AZ46" s="607">
        <f t="shared" ca="1" si="13"/>
        <v>24.000000000000004</v>
      </c>
      <c r="BA46" s="608"/>
      <c r="BB46" s="682">
        <f t="shared" ca="1" si="14"/>
        <v>21.333333333333332</v>
      </c>
      <c r="BC46" s="683"/>
      <c r="BD46" s="684">
        <f t="shared" ca="1" si="15"/>
        <v>22.704761904761906</v>
      </c>
      <c r="BE46" s="685"/>
      <c r="BF46" s="682">
        <f t="shared" ca="1" si="16"/>
        <v>17.114285714285717</v>
      </c>
      <c r="BG46" s="686"/>
      <c r="BH46" s="629"/>
      <c r="BI46" s="37">
        <f t="shared" ca="1" si="17"/>
        <v>599.00000000000011</v>
      </c>
    </row>
    <row r="47" spans="1:61" ht="10.5" customHeight="1" x14ac:dyDescent="0.2">
      <c r="A47" s="180">
        <v>7</v>
      </c>
      <c r="B47" s="640" t="s">
        <v>458</v>
      </c>
      <c r="C47" s="640"/>
      <c r="D47" s="619">
        <v>2</v>
      </c>
      <c r="E47" s="619"/>
      <c r="F47" s="615">
        <v>2</v>
      </c>
      <c r="G47" s="615"/>
      <c r="H47" s="612">
        <v>2</v>
      </c>
      <c r="I47" s="612"/>
      <c r="J47" s="626"/>
      <c r="K47" s="627"/>
      <c r="L47" s="626"/>
      <c r="M47" s="627"/>
      <c r="N47" s="626"/>
      <c r="O47" s="627"/>
      <c r="P47" s="638">
        <f t="shared" si="9"/>
        <v>0</v>
      </c>
      <c r="Q47" s="639"/>
      <c r="R47" s="642"/>
      <c r="S47" s="643"/>
      <c r="T47" s="642"/>
      <c r="U47" s="643"/>
      <c r="V47" s="642"/>
      <c r="W47" s="643"/>
      <c r="X47" s="616">
        <f t="shared" si="10"/>
        <v>0</v>
      </c>
      <c r="Y47" s="617"/>
      <c r="Z47" s="647">
        <f ca="1">SUMIF(CBGV!$H$4:$O$68,"KT&amp;PL",CBGV!$O$4:$O$68)</f>
        <v>8.5</v>
      </c>
      <c r="AA47" s="647"/>
      <c r="AB47" s="646">
        <f ca="1">SUMIF(CBGV!$H$4:$O$68,"KT&amp;PL",CBGV!$O$4:$O$68)</f>
        <v>8.5</v>
      </c>
      <c r="AC47" s="646"/>
      <c r="AD47" s="630">
        <v>0</v>
      </c>
      <c r="AE47" s="631"/>
      <c r="AF47" s="645">
        <f t="shared" si="18"/>
        <v>0</v>
      </c>
      <c r="AG47" s="645"/>
      <c r="AH47" s="623">
        <v>0</v>
      </c>
      <c r="AI47" s="623"/>
      <c r="AJ47" s="624">
        <f t="shared" si="19"/>
        <v>0</v>
      </c>
      <c r="AK47" s="625"/>
      <c r="AL47" s="612">
        <f>P37</f>
        <v>22</v>
      </c>
      <c r="AM47" s="612"/>
      <c r="AN47" s="624">
        <f>AI37</f>
        <v>22</v>
      </c>
      <c r="AO47" s="625"/>
      <c r="AP47" s="609">
        <f>(4.5*8)/35</f>
        <v>1.0285714285714285</v>
      </c>
      <c r="AQ47" s="609"/>
      <c r="AR47" s="653">
        <f>(4.5*10)/35</f>
        <v>1.2857142857142858</v>
      </c>
      <c r="AS47" s="653"/>
      <c r="AT47" s="651">
        <f>(4.5*10)/35</f>
        <v>1.2857142857142858</v>
      </c>
      <c r="AU47" s="652"/>
      <c r="AV47" s="607">
        <f t="shared" ca="1" si="11"/>
        <v>34.1</v>
      </c>
      <c r="AW47" s="608"/>
      <c r="AX47" s="670">
        <f t="shared" ca="1" si="12"/>
        <v>34.1</v>
      </c>
      <c r="AY47" s="671"/>
      <c r="AZ47" s="607">
        <f t="shared" ca="1" si="13"/>
        <v>17.05</v>
      </c>
      <c r="BA47" s="608"/>
      <c r="BB47" s="682">
        <f t="shared" ca="1" si="14"/>
        <v>17.05</v>
      </c>
      <c r="BC47" s="683"/>
      <c r="BD47" s="684">
        <f t="shared" ca="1" si="15"/>
        <v>17.05</v>
      </c>
      <c r="BE47" s="685"/>
      <c r="BF47" s="682">
        <f t="shared" ca="1" si="16"/>
        <v>0.10000000000000142</v>
      </c>
      <c r="BG47" s="686"/>
      <c r="BH47" s="629"/>
      <c r="BI47" s="37">
        <f t="shared" ca="1" si="17"/>
        <v>3.5000000000000497</v>
      </c>
    </row>
    <row r="48" spans="1:61" ht="11.25" customHeight="1" x14ac:dyDescent="0.2">
      <c r="A48" s="180">
        <v>8</v>
      </c>
      <c r="B48" s="640" t="s">
        <v>110</v>
      </c>
      <c r="C48" s="640"/>
      <c r="D48" s="644">
        <v>4</v>
      </c>
      <c r="E48" s="644"/>
      <c r="F48" s="615">
        <v>4</v>
      </c>
      <c r="G48" s="615"/>
      <c r="H48" s="612">
        <v>4</v>
      </c>
      <c r="I48" s="612"/>
      <c r="J48" s="626"/>
      <c r="K48" s="627"/>
      <c r="L48" s="626">
        <v>1</v>
      </c>
      <c r="M48" s="627"/>
      <c r="N48" s="626">
        <v>2</v>
      </c>
      <c r="O48" s="627"/>
      <c r="P48" s="638">
        <f t="shared" si="9"/>
        <v>15</v>
      </c>
      <c r="Q48" s="639"/>
      <c r="R48" s="642"/>
      <c r="S48" s="643"/>
      <c r="T48" s="642">
        <v>1</v>
      </c>
      <c r="U48" s="643"/>
      <c r="V48" s="642">
        <v>2</v>
      </c>
      <c r="W48" s="643"/>
      <c r="X48" s="616">
        <f t="shared" si="10"/>
        <v>15</v>
      </c>
      <c r="Y48" s="617"/>
      <c r="Z48" s="647">
        <f ca="1">SUMIF(CBGV!$H$4:$O$68,"Địa lí",CBGV!$O$4:$O$68)</f>
        <v>3</v>
      </c>
      <c r="AA48" s="647"/>
      <c r="AB48" s="646">
        <f ca="1">SUMIF(CBGV!$H$4:$O$68,"Địa lí",CBGV!$O$4:$O$68)</f>
        <v>3</v>
      </c>
      <c r="AC48" s="646"/>
      <c r="AD48" s="630">
        <v>3</v>
      </c>
      <c r="AE48" s="631"/>
      <c r="AF48" s="645">
        <f t="shared" si="18"/>
        <v>3</v>
      </c>
      <c r="AG48" s="645"/>
      <c r="AH48" s="623">
        <v>3</v>
      </c>
      <c r="AI48" s="623"/>
      <c r="AJ48" s="624">
        <f t="shared" si="19"/>
        <v>3</v>
      </c>
      <c r="AK48" s="625"/>
      <c r="AL48" s="612">
        <f>O37</f>
        <v>39</v>
      </c>
      <c r="AM48" s="612"/>
      <c r="AN48" s="624">
        <f>AH37</f>
        <v>39</v>
      </c>
      <c r="AO48" s="625"/>
      <c r="AP48" s="609">
        <f>(10*8)/35</f>
        <v>2.2857142857142856</v>
      </c>
      <c r="AQ48" s="609"/>
      <c r="AR48" s="653">
        <f>(10*10)/35</f>
        <v>2.8571428571428572</v>
      </c>
      <c r="AS48" s="653"/>
      <c r="AT48" s="651">
        <f>(10*10)/35</f>
        <v>2.8571428571428572</v>
      </c>
      <c r="AU48" s="652"/>
      <c r="AV48" s="607">
        <f t="shared" ca="1" si="11"/>
        <v>68</v>
      </c>
      <c r="AW48" s="608"/>
      <c r="AX48" s="670">
        <f t="shared" ca="1" si="12"/>
        <v>68</v>
      </c>
      <c r="AY48" s="671"/>
      <c r="AZ48" s="607">
        <f t="shared" ca="1" si="13"/>
        <v>17</v>
      </c>
      <c r="BA48" s="608"/>
      <c r="BB48" s="682">
        <f t="shared" ca="1" si="14"/>
        <v>17</v>
      </c>
      <c r="BC48" s="683"/>
      <c r="BD48" s="684">
        <f t="shared" ca="1" si="15"/>
        <v>17</v>
      </c>
      <c r="BE48" s="685"/>
      <c r="BF48" s="682">
        <f t="shared" ca="1" si="16"/>
        <v>0</v>
      </c>
      <c r="BG48" s="686"/>
      <c r="BH48" s="629"/>
      <c r="BI48" s="37">
        <f t="shared" ca="1" si="17"/>
        <v>0</v>
      </c>
    </row>
    <row r="49" spans="1:61" x14ac:dyDescent="0.2">
      <c r="A49" s="180">
        <v>9</v>
      </c>
      <c r="B49" s="640" t="s">
        <v>111</v>
      </c>
      <c r="C49" s="640"/>
      <c r="D49" s="644">
        <v>6</v>
      </c>
      <c r="E49" s="644"/>
      <c r="F49" s="615">
        <v>6</v>
      </c>
      <c r="G49" s="615"/>
      <c r="H49" s="612">
        <v>6</v>
      </c>
      <c r="I49" s="612"/>
      <c r="J49" s="626">
        <v>1</v>
      </c>
      <c r="K49" s="627"/>
      <c r="L49" s="626">
        <v>2</v>
      </c>
      <c r="M49" s="627"/>
      <c r="N49" s="626"/>
      <c r="O49" s="627"/>
      <c r="P49" s="638">
        <f t="shared" si="9"/>
        <v>15</v>
      </c>
      <c r="Q49" s="639"/>
      <c r="R49" s="642">
        <v>1</v>
      </c>
      <c r="S49" s="643"/>
      <c r="T49" s="642">
        <v>2</v>
      </c>
      <c r="U49" s="643"/>
      <c r="V49" s="642"/>
      <c r="W49" s="643"/>
      <c r="X49" s="616">
        <f t="shared" si="10"/>
        <v>15</v>
      </c>
      <c r="Y49" s="617"/>
      <c r="Z49" s="647">
        <f ca="1">SUMIF(CBGV!$H$4:$O$68,"Anh văn",CBGV!$O$4:$O$68)</f>
        <v>3</v>
      </c>
      <c r="AA49" s="647"/>
      <c r="AB49" s="646">
        <f ca="1">SUMIF(CBGV!$H$4:$O$68,"Anh văn",CBGV!$O$4:$O$68)</f>
        <v>3</v>
      </c>
      <c r="AC49" s="646"/>
      <c r="AD49" s="630">
        <v>0</v>
      </c>
      <c r="AE49" s="631"/>
      <c r="AF49" s="645">
        <f t="shared" si="18"/>
        <v>0</v>
      </c>
      <c r="AG49" s="645"/>
      <c r="AH49" s="623">
        <v>0</v>
      </c>
      <c r="AI49" s="623"/>
      <c r="AJ49" s="624">
        <f t="shared" si="19"/>
        <v>0</v>
      </c>
      <c r="AK49" s="625"/>
      <c r="AL49" s="612">
        <f>F37</f>
        <v>84</v>
      </c>
      <c r="AM49" s="612"/>
      <c r="AN49" s="624">
        <f>Y37</f>
        <v>84</v>
      </c>
      <c r="AO49" s="625"/>
      <c r="AP49" s="657"/>
      <c r="AQ49" s="657"/>
      <c r="AR49" s="613"/>
      <c r="AS49" s="613"/>
      <c r="AT49" s="610"/>
      <c r="AU49" s="611"/>
      <c r="AV49" s="607">
        <f t="shared" ca="1" si="11"/>
        <v>102</v>
      </c>
      <c r="AW49" s="608"/>
      <c r="AX49" s="670">
        <f t="shared" ca="1" si="12"/>
        <v>102</v>
      </c>
      <c r="AY49" s="671"/>
      <c r="AZ49" s="607">
        <f t="shared" ca="1" si="13"/>
        <v>17</v>
      </c>
      <c r="BA49" s="608"/>
      <c r="BB49" s="682">
        <f t="shared" ca="1" si="14"/>
        <v>17</v>
      </c>
      <c r="BC49" s="683"/>
      <c r="BD49" s="684">
        <f t="shared" ca="1" si="15"/>
        <v>17</v>
      </c>
      <c r="BE49" s="685"/>
      <c r="BF49" s="682">
        <f t="shared" ca="1" si="16"/>
        <v>0</v>
      </c>
      <c r="BG49" s="686"/>
      <c r="BH49" s="629"/>
      <c r="BI49" s="37">
        <f t="shared" ca="1" si="17"/>
        <v>0</v>
      </c>
    </row>
    <row r="50" spans="1:61" x14ac:dyDescent="0.2">
      <c r="A50" s="180">
        <v>10</v>
      </c>
      <c r="B50" s="640" t="s">
        <v>4</v>
      </c>
      <c r="C50" s="640"/>
      <c r="D50" s="619">
        <v>5</v>
      </c>
      <c r="E50" s="619"/>
      <c r="F50" s="615">
        <v>5</v>
      </c>
      <c r="G50" s="615"/>
      <c r="H50" s="612">
        <v>5</v>
      </c>
      <c r="I50" s="612"/>
      <c r="J50" s="626">
        <v>1</v>
      </c>
      <c r="K50" s="627"/>
      <c r="L50" s="626"/>
      <c r="M50" s="627"/>
      <c r="N50" s="626"/>
      <c r="O50" s="627"/>
      <c r="P50" s="638">
        <f t="shared" si="9"/>
        <v>5</v>
      </c>
      <c r="Q50" s="639"/>
      <c r="R50" s="642">
        <v>1</v>
      </c>
      <c r="S50" s="643"/>
      <c r="T50" s="642"/>
      <c r="U50" s="643"/>
      <c r="V50" s="642"/>
      <c r="W50" s="643"/>
      <c r="X50" s="616">
        <f t="shared" si="10"/>
        <v>5</v>
      </c>
      <c r="Y50" s="617"/>
      <c r="Z50" s="647">
        <f ca="1">SUMIF(CBGV!$H$4:$O$68,"TD-QP",CBGV!$O$4:$O$68)</f>
        <v>11.5</v>
      </c>
      <c r="AA50" s="647"/>
      <c r="AB50" s="646">
        <f ca="1">SUMIF(CBGV!$H$4:$O$68,"TD-QP",CBGV!$O$4:$O$68)</f>
        <v>11.5</v>
      </c>
      <c r="AC50" s="646"/>
      <c r="AD50" s="621">
        <v>1</v>
      </c>
      <c r="AE50" s="621"/>
      <c r="AF50" s="645">
        <f t="shared" si="18"/>
        <v>1</v>
      </c>
      <c r="AG50" s="645"/>
      <c r="AH50" s="623">
        <v>1</v>
      </c>
      <c r="AI50" s="623"/>
      <c r="AJ50" s="624">
        <f t="shared" si="19"/>
        <v>1</v>
      </c>
      <c r="AK50" s="625"/>
      <c r="AL50" s="612">
        <f>G37+H37</f>
        <v>84</v>
      </c>
      <c r="AM50" s="612"/>
      <c r="AN50" s="624">
        <f>Z37+AA37</f>
        <v>84</v>
      </c>
      <c r="AO50" s="625"/>
      <c r="AP50" s="657"/>
      <c r="AQ50" s="657"/>
      <c r="AR50" s="613"/>
      <c r="AS50" s="613"/>
      <c r="AT50" s="610"/>
      <c r="AU50" s="611"/>
      <c r="AV50" s="607">
        <f t="shared" ca="1" si="11"/>
        <v>101.5</v>
      </c>
      <c r="AW50" s="608"/>
      <c r="AX50" s="670">
        <f t="shared" ca="1" si="12"/>
        <v>101.5</v>
      </c>
      <c r="AY50" s="671"/>
      <c r="AZ50" s="607">
        <f t="shared" ca="1" si="13"/>
        <v>20.3</v>
      </c>
      <c r="BA50" s="608"/>
      <c r="BB50" s="682">
        <f t="shared" ca="1" si="14"/>
        <v>20.3</v>
      </c>
      <c r="BC50" s="683"/>
      <c r="BD50" s="684">
        <f t="shared" ca="1" si="15"/>
        <v>20.3</v>
      </c>
      <c r="BE50" s="685"/>
      <c r="BF50" s="682">
        <f t="shared" ca="1" si="16"/>
        <v>16.500000000000004</v>
      </c>
      <c r="BG50" s="686"/>
      <c r="BH50" s="629"/>
      <c r="BI50" s="37">
        <f t="shared" ca="1" si="17"/>
        <v>577.50000000000011</v>
      </c>
    </row>
    <row r="51" spans="1:61" x14ac:dyDescent="0.2">
      <c r="A51" s="654" t="s">
        <v>325</v>
      </c>
      <c r="B51" s="655"/>
      <c r="C51" s="656"/>
      <c r="D51" s="650">
        <f>SUM(D41:E50)</f>
        <v>56</v>
      </c>
      <c r="E51" s="650"/>
      <c r="F51" s="650">
        <f>SUM(F41:G50)</f>
        <v>56</v>
      </c>
      <c r="G51" s="650"/>
      <c r="H51" s="650">
        <f>SUM(H41:I50)</f>
        <v>56</v>
      </c>
      <c r="I51" s="650"/>
      <c r="J51" s="650">
        <f>SUM(J41:K50)</f>
        <v>8</v>
      </c>
      <c r="K51" s="650"/>
      <c r="L51" s="650">
        <f>SUM(L41:M50)</f>
        <v>10</v>
      </c>
      <c r="M51" s="650"/>
      <c r="N51" s="650">
        <f>SUM(N41:O50)</f>
        <v>10</v>
      </c>
      <c r="O51" s="650"/>
      <c r="P51" s="650">
        <f>SUM(P41:Q50)</f>
        <v>140</v>
      </c>
      <c r="Q51" s="650"/>
      <c r="R51" s="650">
        <f>SUM(R41:S50)</f>
        <v>8</v>
      </c>
      <c r="S51" s="650"/>
      <c r="T51" s="650">
        <f>SUM(T41:U50)</f>
        <v>10</v>
      </c>
      <c r="U51" s="650"/>
      <c r="V51" s="650">
        <f>SUM(V41:W50)</f>
        <v>10</v>
      </c>
      <c r="W51" s="650"/>
      <c r="X51" s="650">
        <f>SUM(X41:Y50)</f>
        <v>140</v>
      </c>
      <c r="Y51" s="650"/>
      <c r="Z51" s="650">
        <f ca="1">SUM(Z41:AA50)</f>
        <v>113</v>
      </c>
      <c r="AA51" s="650"/>
      <c r="AB51" s="650">
        <f ca="1">SUM(AB41:AC50)</f>
        <v>113</v>
      </c>
      <c r="AC51" s="650"/>
      <c r="AD51" s="650">
        <f>SUM(AD41:AE50)</f>
        <v>28</v>
      </c>
      <c r="AE51" s="650"/>
      <c r="AF51" s="650">
        <f>SUM(AF41:AG50)</f>
        <v>28</v>
      </c>
      <c r="AG51" s="650"/>
      <c r="AH51" s="650">
        <f>SUM(AH41:AI50)</f>
        <v>28</v>
      </c>
      <c r="AI51" s="650"/>
      <c r="AJ51" s="650">
        <f>SUM(AJ41:AK50)</f>
        <v>28</v>
      </c>
      <c r="AK51" s="650"/>
      <c r="AL51" s="650">
        <f>SUM(AL41:AM50)</f>
        <v>690</v>
      </c>
      <c r="AM51" s="650"/>
      <c r="AN51" s="650">
        <f>SUM(AN41:AO50)</f>
        <v>682</v>
      </c>
      <c r="AO51" s="650"/>
      <c r="AP51" s="658">
        <f>SUM(AP41:AQ50)</f>
        <v>7.8857142857142852</v>
      </c>
      <c r="AQ51" s="658"/>
      <c r="AR51" s="649">
        <f>SUM(AR41:AS50)</f>
        <v>9.8571428571428577</v>
      </c>
      <c r="AS51" s="650"/>
      <c r="AT51" s="649">
        <f>SUM(AT41:AU50)</f>
        <v>9.8571428571428577</v>
      </c>
      <c r="AU51" s="650"/>
      <c r="AV51" s="649">
        <f t="shared" ref="AV51" ca="1" si="21">SUM(AV41:AW50)</f>
        <v>998.6</v>
      </c>
      <c r="AW51" s="650"/>
      <c r="AX51" s="649">
        <f t="shared" ref="AX51" ca="1" si="22">SUM(AX41:AY50)</f>
        <v>990.6</v>
      </c>
      <c r="AY51" s="650"/>
      <c r="AZ51" s="649">
        <f t="shared" ref="AZ51" ca="1" si="23">SUM(AZ41:BA50)</f>
        <v>180.97500000000002</v>
      </c>
      <c r="BA51" s="650"/>
      <c r="BB51" s="649">
        <f t="shared" ref="BB51" ca="1" si="24">SUM(BB41:BC50)</f>
        <v>178.30833333333334</v>
      </c>
      <c r="BC51" s="650"/>
      <c r="BD51" s="649">
        <f t="shared" ref="BD51" ca="1" si="25">SUM(BD41:BE50)</f>
        <v>179.6797619047619</v>
      </c>
      <c r="BE51" s="650"/>
      <c r="BF51" s="695">
        <f ca="1">SUM(BF41:BH50)</f>
        <v>42.714285714285722</v>
      </c>
      <c r="BG51" s="696"/>
      <c r="BH51" s="697"/>
    </row>
    <row r="52" spans="1:61" ht="13.5" hidden="1" customHeight="1" x14ac:dyDescent="0.2">
      <c r="A52" s="586" t="s">
        <v>385</v>
      </c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586"/>
      <c r="AJ52" s="586"/>
      <c r="AK52" s="586"/>
      <c r="AL52" s="586"/>
      <c r="AM52" s="586"/>
      <c r="AN52" s="586"/>
      <c r="AO52" s="586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583"/>
      <c r="BG52" s="583"/>
      <c r="BH52" s="583"/>
    </row>
    <row r="53" spans="1:61" s="220" customFormat="1" ht="13.5" hidden="1" customHeight="1" x14ac:dyDescent="0.25">
      <c r="B53" s="221" t="s">
        <v>400</v>
      </c>
      <c r="Z53" s="585"/>
      <c r="AA53" s="585"/>
      <c r="AQ53" s="584"/>
      <c r="AR53" s="584"/>
    </row>
    <row r="54" spans="1:61" s="220" customFormat="1" ht="13.5" hidden="1" customHeight="1" x14ac:dyDescent="0.25">
      <c r="A54" s="587" t="s">
        <v>402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9"/>
      <c r="O54" s="590">
        <f>E37*18+X37*17</f>
        <v>3920</v>
      </c>
      <c r="P54" s="590"/>
      <c r="Q54" s="590"/>
      <c r="R54" s="590"/>
      <c r="S54" s="590"/>
      <c r="T54" s="590" t="s">
        <v>184</v>
      </c>
      <c r="U54" s="590"/>
      <c r="V54" s="590"/>
      <c r="W54" s="590"/>
      <c r="X54" s="587" t="s">
        <v>387</v>
      </c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  <c r="AJ54" s="588"/>
      <c r="AK54" s="588"/>
      <c r="AL54" s="589"/>
      <c r="AM54" s="590">
        <f>(D41*17-16)*35</f>
        <v>6580</v>
      </c>
      <c r="AN54" s="590"/>
      <c r="AO54" s="590"/>
      <c r="AP54" s="698"/>
      <c r="AQ54" s="699"/>
      <c r="AR54" s="699"/>
      <c r="AS54" s="699"/>
      <c r="AT54" s="699"/>
      <c r="AU54" s="699"/>
      <c r="AV54" s="699"/>
      <c r="AW54" s="699"/>
      <c r="AX54" s="699"/>
      <c r="AY54" s="699"/>
      <c r="AZ54" s="699"/>
      <c r="BA54" s="699"/>
      <c r="BB54" s="699"/>
      <c r="BC54" s="699"/>
      <c r="BD54" s="699"/>
      <c r="BE54" s="699"/>
      <c r="BF54" s="699"/>
      <c r="BG54" s="699"/>
      <c r="BH54" s="699"/>
    </row>
    <row r="55" spans="1:61" s="220" customFormat="1" ht="13.5" hidden="1" customHeight="1" x14ac:dyDescent="0.25">
      <c r="A55" s="587" t="s">
        <v>403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9"/>
      <c r="O55" s="590">
        <f>Q37*18+AJ37*17</f>
        <v>1470</v>
      </c>
      <c r="P55" s="590"/>
      <c r="Q55" s="590"/>
      <c r="R55" s="590"/>
      <c r="S55" s="590"/>
      <c r="T55" s="590">
        <f>SUM(O54:S56)</f>
        <v>6742</v>
      </c>
      <c r="U55" s="590"/>
      <c r="V55" s="590"/>
      <c r="W55" s="590"/>
      <c r="X55" s="587" t="s">
        <v>389</v>
      </c>
      <c r="Y55" s="588"/>
      <c r="Z55" s="588"/>
      <c r="AA55" s="588"/>
      <c r="AB55" s="588"/>
      <c r="AC55" s="588"/>
      <c r="AD55" s="588"/>
      <c r="AE55" s="588"/>
      <c r="AF55" s="588"/>
      <c r="AG55" s="588"/>
      <c r="AH55" s="588"/>
      <c r="AI55" s="588"/>
      <c r="AJ55" s="588"/>
      <c r="AK55" s="588"/>
      <c r="AL55" s="589"/>
      <c r="AM55" s="590">
        <f>T55-AM54</f>
        <v>162</v>
      </c>
      <c r="AN55" s="590"/>
      <c r="AO55" s="590"/>
      <c r="AP55" s="700"/>
      <c r="AQ55" s="699"/>
      <c r="AR55" s="699"/>
      <c r="AS55" s="699"/>
      <c r="AT55" s="699"/>
      <c r="AU55" s="699"/>
      <c r="AV55" s="699"/>
      <c r="AW55" s="699"/>
      <c r="AX55" s="699"/>
      <c r="AY55" s="699"/>
      <c r="AZ55" s="699"/>
      <c r="BA55" s="699"/>
      <c r="BB55" s="699"/>
      <c r="BC55" s="699"/>
      <c r="BD55" s="699"/>
      <c r="BE55" s="699"/>
      <c r="BF55" s="699"/>
      <c r="BG55" s="699"/>
      <c r="BH55" s="699"/>
    </row>
    <row r="56" spans="1:61" s="220" customFormat="1" ht="13.5" hidden="1" customHeight="1" x14ac:dyDescent="0.25">
      <c r="A56" s="587" t="s">
        <v>386</v>
      </c>
      <c r="B56" s="588"/>
      <c r="C56" s="588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9"/>
      <c r="O56" s="590">
        <f>P41*18+X41*18+AF41*17+AJ41*17</f>
        <v>1352</v>
      </c>
      <c r="P56" s="590"/>
      <c r="Q56" s="590"/>
      <c r="R56" s="590"/>
      <c r="S56" s="590"/>
      <c r="T56" s="590"/>
      <c r="U56" s="590"/>
      <c r="V56" s="590"/>
      <c r="W56" s="590"/>
      <c r="X56" s="595" t="s">
        <v>398</v>
      </c>
      <c r="Y56" s="596"/>
      <c r="Z56" s="596"/>
      <c r="AA56" s="596"/>
      <c r="AB56" s="596"/>
      <c r="AC56" s="596"/>
      <c r="AD56" s="596"/>
      <c r="AE56" s="596"/>
      <c r="AF56" s="596"/>
      <c r="AG56" s="596"/>
      <c r="AH56" s="596"/>
      <c r="AI56" s="596"/>
      <c r="AJ56" s="596"/>
      <c r="AK56" s="596"/>
      <c r="AL56" s="597"/>
      <c r="AM56" s="604">
        <f>AM55/35</f>
        <v>4.628571428571429</v>
      </c>
      <c r="AN56" s="605"/>
      <c r="AO56" s="606"/>
      <c r="AP56" s="700"/>
      <c r="AQ56" s="699"/>
      <c r="AR56" s="699"/>
      <c r="AS56" s="699"/>
      <c r="AT56" s="699"/>
      <c r="AU56" s="699"/>
      <c r="AV56" s="699"/>
      <c r="AW56" s="699"/>
      <c r="AX56" s="699"/>
      <c r="AY56" s="699"/>
      <c r="AZ56" s="699"/>
      <c r="BA56" s="699"/>
      <c r="BB56" s="699"/>
      <c r="BC56" s="699"/>
      <c r="BD56" s="699"/>
      <c r="BE56" s="699"/>
      <c r="BF56" s="699"/>
      <c r="BG56" s="699"/>
      <c r="BH56" s="699"/>
    </row>
    <row r="57" spans="1:61" s="220" customFormat="1" ht="13.5" hidden="1" customHeight="1" x14ac:dyDescent="0.25">
      <c r="A57" s="222"/>
      <c r="B57" s="223" t="s">
        <v>388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</row>
    <row r="58" spans="1:61" s="220" customFormat="1" ht="13.5" hidden="1" customHeight="1" x14ac:dyDescent="0.25">
      <c r="A58" s="591" t="s">
        <v>404</v>
      </c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3"/>
      <c r="O58" s="594">
        <f>D37*18+W37*17</f>
        <v>3115</v>
      </c>
      <c r="P58" s="594"/>
      <c r="Q58" s="594"/>
      <c r="R58" s="594"/>
      <c r="S58" s="594"/>
      <c r="T58" s="594" t="s">
        <v>184</v>
      </c>
      <c r="U58" s="594"/>
      <c r="V58" s="594"/>
      <c r="W58" s="594"/>
      <c r="X58" s="591" t="s">
        <v>387</v>
      </c>
      <c r="Y58" s="592"/>
      <c r="Z58" s="592"/>
      <c r="AA58" s="592"/>
      <c r="AB58" s="592"/>
      <c r="AC58" s="592"/>
      <c r="AD58" s="592"/>
      <c r="AE58" s="592"/>
      <c r="AF58" s="592"/>
      <c r="AG58" s="592"/>
      <c r="AH58" s="592"/>
      <c r="AI58" s="592"/>
      <c r="AJ58" s="592"/>
      <c r="AK58" s="592"/>
      <c r="AL58" s="593"/>
      <c r="AM58" s="594">
        <f ca="1">D45*17*35-(Z45*35)</f>
        <v>3640</v>
      </c>
      <c r="AN58" s="594"/>
      <c r="AO58" s="594"/>
      <c r="AP58" s="700"/>
      <c r="AQ58" s="699"/>
      <c r="AR58" s="699"/>
      <c r="AS58" s="699"/>
      <c r="AT58" s="699"/>
      <c r="AU58" s="699"/>
      <c r="AV58" s="699"/>
      <c r="AW58" s="699"/>
      <c r="AX58" s="699"/>
      <c r="AY58" s="699"/>
      <c r="AZ58" s="699"/>
      <c r="BA58" s="699"/>
      <c r="BB58" s="699"/>
      <c r="BC58" s="699"/>
      <c r="BD58" s="699"/>
      <c r="BE58" s="699"/>
      <c r="BF58" s="699"/>
      <c r="BG58" s="699"/>
      <c r="BH58" s="699"/>
    </row>
    <row r="59" spans="1:61" s="220" customFormat="1" ht="13.5" hidden="1" customHeight="1" x14ac:dyDescent="0.25">
      <c r="A59" s="591" t="s">
        <v>405</v>
      </c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3"/>
      <c r="O59" s="594">
        <f>9*28</f>
        <v>252</v>
      </c>
      <c r="P59" s="594"/>
      <c r="Q59" s="594"/>
      <c r="R59" s="594"/>
      <c r="S59" s="594"/>
      <c r="T59" s="594">
        <f>SUM(O58:S60)</f>
        <v>4067</v>
      </c>
      <c r="U59" s="594"/>
      <c r="V59" s="594"/>
      <c r="W59" s="594"/>
      <c r="X59" s="591" t="s">
        <v>389</v>
      </c>
      <c r="Y59" s="592"/>
      <c r="Z59" s="592"/>
      <c r="AA59" s="592"/>
      <c r="AB59" s="592"/>
      <c r="AC59" s="592"/>
      <c r="AD59" s="592"/>
      <c r="AE59" s="592"/>
      <c r="AF59" s="592"/>
      <c r="AG59" s="592"/>
      <c r="AH59" s="592"/>
      <c r="AI59" s="592"/>
      <c r="AJ59" s="592"/>
      <c r="AK59" s="592"/>
      <c r="AL59" s="593"/>
      <c r="AM59" s="594">
        <f ca="1">T59-AM58</f>
        <v>427</v>
      </c>
      <c r="AN59" s="594"/>
      <c r="AO59" s="594"/>
      <c r="AP59" s="700"/>
      <c r="AQ59" s="699"/>
      <c r="AR59" s="699"/>
      <c r="AS59" s="699"/>
      <c r="AT59" s="699"/>
      <c r="AU59" s="699"/>
      <c r="AV59" s="699"/>
      <c r="AW59" s="699"/>
      <c r="AX59" s="699"/>
      <c r="AY59" s="699"/>
      <c r="AZ59" s="699"/>
      <c r="BA59" s="699"/>
      <c r="BB59" s="699"/>
      <c r="BC59" s="699"/>
      <c r="BD59" s="699"/>
      <c r="BE59" s="699"/>
      <c r="BF59" s="699"/>
      <c r="BG59" s="699"/>
      <c r="BH59" s="699"/>
    </row>
    <row r="60" spans="1:61" s="220" customFormat="1" ht="13.5" hidden="1" customHeight="1" x14ac:dyDescent="0.25">
      <c r="A60" s="591" t="s">
        <v>386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3"/>
      <c r="O60" s="594">
        <f>P45*18+X45*17+AF45*18+AJ45*17</f>
        <v>700</v>
      </c>
      <c r="P60" s="594"/>
      <c r="Q60" s="594"/>
      <c r="R60" s="594"/>
      <c r="S60" s="594"/>
      <c r="T60" s="594"/>
      <c r="U60" s="594"/>
      <c r="V60" s="594"/>
      <c r="W60" s="594"/>
      <c r="X60" s="595" t="s">
        <v>398</v>
      </c>
      <c r="Y60" s="596"/>
      <c r="Z60" s="596"/>
      <c r="AA60" s="596"/>
      <c r="AB60" s="596"/>
      <c r="AC60" s="596"/>
      <c r="AD60" s="596"/>
      <c r="AE60" s="596"/>
      <c r="AF60" s="596"/>
      <c r="AG60" s="596"/>
      <c r="AH60" s="596"/>
      <c r="AI60" s="596"/>
      <c r="AJ60" s="596"/>
      <c r="AK60" s="596"/>
      <c r="AL60" s="597"/>
      <c r="AM60" s="601">
        <f ca="1">AM59/35</f>
        <v>12.2</v>
      </c>
      <c r="AN60" s="602"/>
      <c r="AO60" s="603"/>
      <c r="AP60" s="700"/>
      <c r="AQ60" s="699"/>
      <c r="AR60" s="699"/>
      <c r="AS60" s="699"/>
      <c r="AT60" s="699"/>
      <c r="AU60" s="699"/>
      <c r="AV60" s="699"/>
      <c r="AW60" s="699"/>
      <c r="AX60" s="699"/>
      <c r="AY60" s="699"/>
      <c r="AZ60" s="699"/>
      <c r="BA60" s="699"/>
      <c r="BB60" s="699"/>
      <c r="BC60" s="699"/>
      <c r="BD60" s="699"/>
      <c r="BE60" s="699"/>
      <c r="BF60" s="699"/>
      <c r="BG60" s="699"/>
      <c r="BH60" s="699"/>
    </row>
    <row r="61" spans="1:61" s="220" customFormat="1" ht="13.5" hidden="1" customHeight="1" x14ac:dyDescent="0.25">
      <c r="A61" s="224"/>
      <c r="B61" s="221" t="s">
        <v>401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</row>
    <row r="62" spans="1:61" s="220" customFormat="1" ht="13.5" hidden="1" customHeight="1" x14ac:dyDescent="0.25">
      <c r="A62" s="587" t="s">
        <v>406</v>
      </c>
      <c r="B62" s="588"/>
      <c r="C62" s="588"/>
      <c r="D62" s="588"/>
      <c r="E62" s="588"/>
      <c r="F62" s="588"/>
      <c r="G62" s="588"/>
      <c r="H62" s="588"/>
      <c r="I62" s="588"/>
      <c r="J62" s="588"/>
      <c r="K62" s="588"/>
      <c r="L62" s="588"/>
      <c r="M62" s="588"/>
      <c r="N62" s="589"/>
      <c r="O62" s="590">
        <f>L37*18+AE37*17</f>
        <v>1925</v>
      </c>
      <c r="P62" s="590"/>
      <c r="Q62" s="590"/>
      <c r="R62" s="590"/>
      <c r="S62" s="590"/>
      <c r="T62" s="590" t="s">
        <v>184</v>
      </c>
      <c r="U62" s="590"/>
      <c r="V62" s="590"/>
      <c r="W62" s="590"/>
      <c r="X62" s="587" t="s">
        <v>387</v>
      </c>
      <c r="Y62" s="588"/>
      <c r="Z62" s="588"/>
      <c r="AA62" s="588"/>
      <c r="AB62" s="588"/>
      <c r="AC62" s="588"/>
      <c r="AD62" s="588"/>
      <c r="AE62" s="588"/>
      <c r="AF62" s="588"/>
      <c r="AG62" s="588"/>
      <c r="AH62" s="588"/>
      <c r="AI62" s="588"/>
      <c r="AJ62" s="588"/>
      <c r="AK62" s="588"/>
      <c r="AL62" s="589"/>
      <c r="AM62" s="590">
        <f ca="1">D42*17*35-(AB42*35)</f>
        <v>3955</v>
      </c>
      <c r="AN62" s="590"/>
      <c r="AO62" s="590"/>
      <c r="AP62" s="700"/>
      <c r="AQ62" s="699"/>
      <c r="AR62" s="699"/>
      <c r="AS62" s="699"/>
      <c r="AT62" s="699"/>
      <c r="AU62" s="699"/>
      <c r="AV62" s="699"/>
      <c r="AW62" s="699"/>
      <c r="AX62" s="699"/>
      <c r="AY62" s="699"/>
      <c r="AZ62" s="699"/>
      <c r="BA62" s="699"/>
      <c r="BB62" s="699"/>
      <c r="BC62" s="699"/>
      <c r="BD62" s="699"/>
      <c r="BE62" s="699"/>
      <c r="BF62" s="699"/>
      <c r="BG62" s="699"/>
      <c r="BH62" s="699"/>
    </row>
    <row r="63" spans="1:61" s="220" customFormat="1" ht="13.5" hidden="1" customHeight="1" x14ac:dyDescent="0.25">
      <c r="A63" s="587" t="s">
        <v>407</v>
      </c>
      <c r="B63" s="588"/>
      <c r="C63" s="588"/>
      <c r="D63" s="588"/>
      <c r="E63" s="588"/>
      <c r="F63" s="588"/>
      <c r="G63" s="588"/>
      <c r="H63" s="588"/>
      <c r="I63" s="588"/>
      <c r="J63" s="588"/>
      <c r="K63" s="588"/>
      <c r="L63" s="588"/>
      <c r="M63" s="588"/>
      <c r="N63" s="589"/>
      <c r="O63" s="590">
        <f>R37*18+AK37*17</f>
        <v>1190</v>
      </c>
      <c r="P63" s="590"/>
      <c r="Q63" s="590"/>
      <c r="R63" s="590"/>
      <c r="S63" s="590"/>
      <c r="T63" s="590">
        <f>SUM(O62:S64)</f>
        <v>3955</v>
      </c>
      <c r="U63" s="590"/>
      <c r="V63" s="590"/>
      <c r="W63" s="590"/>
      <c r="X63" s="587" t="s">
        <v>389</v>
      </c>
      <c r="Y63" s="588"/>
      <c r="Z63" s="588"/>
      <c r="AA63" s="588"/>
      <c r="AB63" s="588"/>
      <c r="AC63" s="588"/>
      <c r="AD63" s="588"/>
      <c r="AE63" s="588"/>
      <c r="AF63" s="588"/>
      <c r="AG63" s="588"/>
      <c r="AH63" s="588"/>
      <c r="AI63" s="588"/>
      <c r="AJ63" s="588"/>
      <c r="AK63" s="588"/>
      <c r="AL63" s="589"/>
      <c r="AM63" s="590">
        <f ca="1">T63-AM62</f>
        <v>0</v>
      </c>
      <c r="AN63" s="590"/>
      <c r="AO63" s="590"/>
      <c r="AP63" s="700"/>
      <c r="AQ63" s="699"/>
      <c r="AR63" s="699"/>
      <c r="AS63" s="699"/>
      <c r="AT63" s="699"/>
      <c r="AU63" s="699"/>
      <c r="AV63" s="699"/>
      <c r="AW63" s="699"/>
      <c r="AX63" s="699"/>
      <c r="AY63" s="699"/>
      <c r="AZ63" s="699"/>
      <c r="BA63" s="699"/>
      <c r="BB63" s="699"/>
      <c r="BC63" s="699"/>
      <c r="BD63" s="699"/>
      <c r="BE63" s="699"/>
      <c r="BF63" s="699"/>
      <c r="BG63" s="699"/>
      <c r="BH63" s="699"/>
    </row>
    <row r="64" spans="1:61" s="220" customFormat="1" ht="13.5" hidden="1" customHeight="1" x14ac:dyDescent="0.25">
      <c r="A64" s="587" t="s">
        <v>386</v>
      </c>
      <c r="B64" s="588"/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  <c r="N64" s="589"/>
      <c r="O64" s="590">
        <f>P42*18+X42*17+AF42*18+AJ42*17</f>
        <v>840</v>
      </c>
      <c r="P64" s="590"/>
      <c r="Q64" s="590"/>
      <c r="R64" s="590"/>
      <c r="S64" s="590"/>
      <c r="T64" s="590"/>
      <c r="U64" s="590"/>
      <c r="V64" s="590"/>
      <c r="W64" s="590"/>
      <c r="X64" s="595" t="s">
        <v>399</v>
      </c>
      <c r="Y64" s="596"/>
      <c r="Z64" s="596"/>
      <c r="AA64" s="596"/>
      <c r="AB64" s="596"/>
      <c r="AC64" s="596"/>
      <c r="AD64" s="596"/>
      <c r="AE64" s="596"/>
      <c r="AF64" s="596"/>
      <c r="AG64" s="596"/>
      <c r="AH64" s="596"/>
      <c r="AI64" s="596"/>
      <c r="AJ64" s="596"/>
      <c r="AK64" s="596"/>
      <c r="AL64" s="597"/>
      <c r="AM64" s="598">
        <f ca="1">AM63/17</f>
        <v>0</v>
      </c>
      <c r="AN64" s="599"/>
      <c r="AO64" s="600"/>
      <c r="AP64" s="700"/>
      <c r="AQ64" s="699"/>
      <c r="AR64" s="699"/>
      <c r="AS64" s="699"/>
      <c r="AT64" s="699"/>
      <c r="AU64" s="699"/>
      <c r="AV64" s="699"/>
      <c r="AW64" s="699"/>
      <c r="AX64" s="699"/>
      <c r="AY64" s="699"/>
      <c r="AZ64" s="699"/>
      <c r="BA64" s="699"/>
      <c r="BB64" s="699"/>
      <c r="BC64" s="699"/>
      <c r="BD64" s="699"/>
      <c r="BE64" s="699"/>
      <c r="BF64" s="699"/>
      <c r="BG64" s="699"/>
      <c r="BH64" s="699"/>
    </row>
    <row r="65" spans="1:60" s="220" customFormat="1" ht="13.5" hidden="1" customHeight="1" x14ac:dyDescent="0.25">
      <c r="A65" s="222"/>
      <c r="B65" s="223" t="s">
        <v>391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</row>
    <row r="66" spans="1:60" s="220" customFormat="1" ht="13.5" hidden="1" customHeight="1" x14ac:dyDescent="0.25">
      <c r="A66" s="591" t="s">
        <v>408</v>
      </c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3"/>
      <c r="O66" s="594">
        <f>M37*18+AF37*17</f>
        <v>1680</v>
      </c>
      <c r="P66" s="594"/>
      <c r="Q66" s="594"/>
      <c r="R66" s="594"/>
      <c r="S66" s="594"/>
      <c r="T66" s="594" t="s">
        <v>184</v>
      </c>
      <c r="U66" s="594"/>
      <c r="V66" s="594"/>
      <c r="W66" s="594"/>
      <c r="X66" s="591" t="s">
        <v>387</v>
      </c>
      <c r="Y66" s="592"/>
      <c r="Z66" s="592"/>
      <c r="AA66" s="592"/>
      <c r="AB66" s="592"/>
      <c r="AC66" s="592"/>
      <c r="AD66" s="592"/>
      <c r="AE66" s="592"/>
      <c r="AF66" s="592"/>
      <c r="AG66" s="592"/>
      <c r="AH66" s="592"/>
      <c r="AI66" s="592"/>
      <c r="AJ66" s="592"/>
      <c r="AK66" s="592"/>
      <c r="AL66" s="593"/>
      <c r="AM66" s="594">
        <f>(D43*17-16)*35</f>
        <v>2415</v>
      </c>
      <c r="AN66" s="594"/>
      <c r="AO66" s="594"/>
      <c r="AP66" s="700"/>
      <c r="AQ66" s="699"/>
      <c r="AR66" s="699"/>
      <c r="AS66" s="699"/>
      <c r="AT66" s="699"/>
      <c r="AU66" s="699"/>
      <c r="AV66" s="699"/>
      <c r="AW66" s="699"/>
      <c r="AX66" s="699"/>
      <c r="AY66" s="699"/>
      <c r="AZ66" s="699"/>
      <c r="BA66" s="699"/>
      <c r="BB66" s="699"/>
      <c r="BC66" s="699"/>
      <c r="BD66" s="699"/>
      <c r="BE66" s="699"/>
      <c r="BF66" s="699"/>
      <c r="BG66" s="699"/>
      <c r="BH66" s="699"/>
    </row>
    <row r="67" spans="1:60" s="220" customFormat="1" ht="13.5" hidden="1" customHeight="1" x14ac:dyDescent="0.25">
      <c r="A67" s="591" t="s">
        <v>405</v>
      </c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3"/>
      <c r="O67" s="594">
        <v>0</v>
      </c>
      <c r="P67" s="594"/>
      <c r="Q67" s="594"/>
      <c r="R67" s="594"/>
      <c r="S67" s="594"/>
      <c r="T67" s="594">
        <f>SUM(O66:S68)</f>
        <v>2141.75</v>
      </c>
      <c r="U67" s="594"/>
      <c r="V67" s="594"/>
      <c r="W67" s="594"/>
      <c r="X67" s="591" t="s">
        <v>389</v>
      </c>
      <c r="Y67" s="592"/>
      <c r="Z67" s="592"/>
      <c r="AA67" s="592"/>
      <c r="AB67" s="592"/>
      <c r="AC67" s="592"/>
      <c r="AD67" s="592"/>
      <c r="AE67" s="592"/>
      <c r="AF67" s="592"/>
      <c r="AG67" s="592"/>
      <c r="AH67" s="592"/>
      <c r="AI67" s="592"/>
      <c r="AJ67" s="592"/>
      <c r="AK67" s="592"/>
      <c r="AL67" s="593"/>
      <c r="AM67" s="594">
        <f>T67-AM66</f>
        <v>-273.25</v>
      </c>
      <c r="AN67" s="594"/>
      <c r="AO67" s="594"/>
      <c r="AP67" s="700"/>
      <c r="AQ67" s="699"/>
      <c r="AR67" s="699"/>
      <c r="AS67" s="699"/>
      <c r="AT67" s="699"/>
      <c r="AU67" s="699"/>
      <c r="AV67" s="699"/>
      <c r="AW67" s="699"/>
      <c r="AX67" s="699"/>
      <c r="AY67" s="699"/>
      <c r="AZ67" s="699"/>
      <c r="BA67" s="699"/>
      <c r="BB67" s="699"/>
      <c r="BC67" s="699"/>
      <c r="BD67" s="699"/>
      <c r="BE67" s="699"/>
      <c r="BF67" s="699"/>
      <c r="BG67" s="699"/>
      <c r="BH67" s="699"/>
    </row>
    <row r="68" spans="1:60" s="220" customFormat="1" ht="13.5" hidden="1" customHeight="1" x14ac:dyDescent="0.25">
      <c r="A68" s="591" t="s">
        <v>386</v>
      </c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3"/>
      <c r="O68" s="594">
        <f>(L43*6+N43*4.75)*18+(R43*6+T43*4.75)*17</f>
        <v>461.75</v>
      </c>
      <c r="P68" s="594"/>
      <c r="Q68" s="594"/>
      <c r="R68" s="594"/>
      <c r="S68" s="594"/>
      <c r="T68" s="594"/>
      <c r="U68" s="594"/>
      <c r="V68" s="594"/>
      <c r="W68" s="594"/>
      <c r="X68" s="595" t="s">
        <v>398</v>
      </c>
      <c r="Y68" s="596"/>
      <c r="Z68" s="596"/>
      <c r="AA68" s="596"/>
      <c r="AB68" s="596"/>
      <c r="AC68" s="596"/>
      <c r="AD68" s="596"/>
      <c r="AE68" s="596"/>
      <c r="AF68" s="596"/>
      <c r="AG68" s="596"/>
      <c r="AH68" s="596"/>
      <c r="AI68" s="596"/>
      <c r="AJ68" s="596"/>
      <c r="AK68" s="596"/>
      <c r="AL68" s="597"/>
      <c r="AM68" s="601">
        <f>AM67/35</f>
        <v>-7.8071428571428569</v>
      </c>
      <c r="AN68" s="602"/>
      <c r="AO68" s="603"/>
      <c r="AP68" s="700"/>
      <c r="AQ68" s="699"/>
      <c r="AR68" s="699"/>
      <c r="AS68" s="699"/>
      <c r="AT68" s="699"/>
      <c r="AU68" s="699"/>
      <c r="AV68" s="699"/>
      <c r="AW68" s="699"/>
      <c r="AX68" s="699"/>
      <c r="AY68" s="699"/>
      <c r="AZ68" s="699"/>
      <c r="BA68" s="699"/>
      <c r="BB68" s="699"/>
      <c r="BC68" s="699"/>
      <c r="BD68" s="699"/>
      <c r="BE68" s="699"/>
      <c r="BF68" s="699"/>
      <c r="BG68" s="699"/>
      <c r="BH68" s="699"/>
    </row>
    <row r="69" spans="1:60" s="220" customFormat="1" ht="13.5" hidden="1" customHeight="1" x14ac:dyDescent="0.25">
      <c r="A69" s="224"/>
      <c r="B69" s="221" t="s">
        <v>390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</row>
    <row r="70" spans="1:60" s="220" customFormat="1" ht="13.5" hidden="1" customHeight="1" x14ac:dyDescent="0.25">
      <c r="A70" s="587" t="s">
        <v>409</v>
      </c>
      <c r="B70" s="588"/>
      <c r="C70" s="588"/>
      <c r="D70" s="588"/>
      <c r="E70" s="588"/>
      <c r="F70" s="588"/>
      <c r="G70" s="588"/>
      <c r="H70" s="588"/>
      <c r="I70" s="588"/>
      <c r="J70" s="588"/>
      <c r="K70" s="588"/>
      <c r="L70" s="588"/>
      <c r="M70" s="588"/>
      <c r="N70" s="589"/>
      <c r="O70" s="590">
        <f>N37*18+AG37*17</f>
        <v>1050</v>
      </c>
      <c r="P70" s="590"/>
      <c r="Q70" s="590"/>
      <c r="R70" s="590"/>
      <c r="S70" s="590"/>
      <c r="T70" s="590" t="s">
        <v>184</v>
      </c>
      <c r="U70" s="590"/>
      <c r="V70" s="590"/>
      <c r="W70" s="590"/>
      <c r="X70" s="587" t="s">
        <v>387</v>
      </c>
      <c r="Y70" s="588"/>
      <c r="Z70" s="588"/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9"/>
      <c r="AM70" s="590">
        <f>(D44*17-20)*35</f>
        <v>1680</v>
      </c>
      <c r="AN70" s="590"/>
      <c r="AO70" s="590"/>
      <c r="AP70" s="700"/>
      <c r="AQ70" s="699"/>
      <c r="AR70" s="699"/>
      <c r="AS70" s="699"/>
      <c r="AT70" s="699"/>
      <c r="AU70" s="699"/>
      <c r="AV70" s="699"/>
      <c r="AW70" s="699"/>
      <c r="AX70" s="699"/>
      <c r="AY70" s="699"/>
      <c r="AZ70" s="699"/>
      <c r="BA70" s="699"/>
      <c r="BB70" s="699"/>
      <c r="BC70" s="699"/>
      <c r="BD70" s="699"/>
      <c r="BE70" s="699"/>
      <c r="BF70" s="699"/>
      <c r="BG70" s="699"/>
      <c r="BH70" s="699"/>
    </row>
    <row r="71" spans="1:60" s="220" customFormat="1" ht="13.5" hidden="1" customHeight="1" x14ac:dyDescent="0.25">
      <c r="A71" s="587" t="s">
        <v>410</v>
      </c>
      <c r="B71" s="588"/>
      <c r="C71" s="588"/>
      <c r="D71" s="588"/>
      <c r="E71" s="588"/>
      <c r="F71" s="588"/>
      <c r="G71" s="588"/>
      <c r="H71" s="588"/>
      <c r="I71" s="588"/>
      <c r="J71" s="588"/>
      <c r="K71" s="588"/>
      <c r="L71" s="588"/>
      <c r="M71" s="588"/>
      <c r="N71" s="589"/>
      <c r="O71" s="590">
        <f>4.5*10+4.5*8</f>
        <v>81</v>
      </c>
      <c r="P71" s="590"/>
      <c r="Q71" s="590"/>
      <c r="R71" s="590"/>
      <c r="S71" s="590"/>
      <c r="T71" s="590">
        <f>SUM(O70:S72)</f>
        <v>1405.25</v>
      </c>
      <c r="U71" s="590"/>
      <c r="V71" s="590"/>
      <c r="W71" s="590"/>
      <c r="X71" s="587" t="s">
        <v>389</v>
      </c>
      <c r="Y71" s="588"/>
      <c r="Z71" s="588"/>
      <c r="AA71" s="588"/>
      <c r="AB71" s="588"/>
      <c r="AC71" s="588"/>
      <c r="AD71" s="588"/>
      <c r="AE71" s="588"/>
      <c r="AF71" s="588"/>
      <c r="AG71" s="588"/>
      <c r="AH71" s="588"/>
      <c r="AI71" s="588"/>
      <c r="AJ71" s="588"/>
      <c r="AK71" s="588"/>
      <c r="AL71" s="589"/>
      <c r="AM71" s="590">
        <f>T71-AM70</f>
        <v>-274.75</v>
      </c>
      <c r="AN71" s="590"/>
      <c r="AO71" s="590"/>
      <c r="AP71" s="700"/>
      <c r="AQ71" s="699"/>
      <c r="AR71" s="699"/>
      <c r="AS71" s="699"/>
      <c r="AT71" s="699"/>
      <c r="AU71" s="699"/>
      <c r="AV71" s="699"/>
      <c r="AW71" s="699"/>
      <c r="AX71" s="699"/>
      <c r="AY71" s="699"/>
      <c r="AZ71" s="699"/>
      <c r="BA71" s="699"/>
      <c r="BB71" s="699"/>
      <c r="BC71" s="699"/>
      <c r="BD71" s="699"/>
      <c r="BE71" s="699"/>
      <c r="BF71" s="699"/>
      <c r="BG71" s="699"/>
      <c r="BH71" s="699"/>
    </row>
    <row r="72" spans="1:60" s="220" customFormat="1" ht="13.5" hidden="1" customHeight="1" x14ac:dyDescent="0.25">
      <c r="A72" s="587" t="s">
        <v>386</v>
      </c>
      <c r="B72" s="588"/>
      <c r="C72" s="588"/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9"/>
      <c r="O72" s="590">
        <f>(L44*6+N44*4.75)*18+(R44*6+T44*4.75)*17</f>
        <v>274.25</v>
      </c>
      <c r="P72" s="590"/>
      <c r="Q72" s="590"/>
      <c r="R72" s="590"/>
      <c r="S72" s="590"/>
      <c r="T72" s="590"/>
      <c r="U72" s="590"/>
      <c r="V72" s="590"/>
      <c r="W72" s="590"/>
      <c r="X72" s="595" t="s">
        <v>398</v>
      </c>
      <c r="Y72" s="596"/>
      <c r="Z72" s="596"/>
      <c r="AA72" s="596"/>
      <c r="AB72" s="596"/>
      <c r="AC72" s="596"/>
      <c r="AD72" s="596"/>
      <c r="AE72" s="596"/>
      <c r="AF72" s="596"/>
      <c r="AG72" s="596"/>
      <c r="AH72" s="596"/>
      <c r="AI72" s="596"/>
      <c r="AJ72" s="596"/>
      <c r="AK72" s="596"/>
      <c r="AL72" s="597"/>
      <c r="AM72" s="598">
        <f>AM71/35</f>
        <v>-7.85</v>
      </c>
      <c r="AN72" s="599"/>
      <c r="AO72" s="600"/>
      <c r="AP72" s="700"/>
      <c r="AQ72" s="699"/>
      <c r="AR72" s="699"/>
      <c r="AS72" s="699"/>
      <c r="AT72" s="699"/>
      <c r="AU72" s="699"/>
      <c r="AV72" s="699"/>
      <c r="AW72" s="699"/>
      <c r="AX72" s="699"/>
      <c r="AY72" s="699"/>
      <c r="AZ72" s="699"/>
      <c r="BA72" s="699"/>
      <c r="BB72" s="699"/>
      <c r="BC72" s="699"/>
      <c r="BD72" s="699"/>
      <c r="BE72" s="699"/>
      <c r="BF72" s="699"/>
      <c r="BG72" s="699"/>
      <c r="BH72" s="699"/>
    </row>
    <row r="73" spans="1:60" s="220" customFormat="1" ht="13.5" hidden="1" customHeight="1" x14ac:dyDescent="0.25">
      <c r="A73" s="222"/>
      <c r="B73" s="223" t="s">
        <v>392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</row>
    <row r="74" spans="1:60" s="220" customFormat="1" ht="13.5" hidden="1" customHeight="1" x14ac:dyDescent="0.25">
      <c r="A74" s="591" t="s">
        <v>411</v>
      </c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3"/>
      <c r="O74" s="594">
        <f>I37*18+AB37*17</f>
        <v>1579</v>
      </c>
      <c r="P74" s="594"/>
      <c r="Q74" s="594"/>
      <c r="R74" s="594"/>
      <c r="S74" s="594"/>
      <c r="T74" s="594" t="s">
        <v>184</v>
      </c>
      <c r="U74" s="594"/>
      <c r="V74" s="594"/>
      <c r="W74" s="594"/>
      <c r="X74" s="591" t="s">
        <v>387</v>
      </c>
      <c r="Y74" s="592"/>
      <c r="Z74" s="592"/>
      <c r="AA74" s="592"/>
      <c r="AB74" s="592"/>
      <c r="AC74" s="592"/>
      <c r="AD74" s="592"/>
      <c r="AE74" s="592"/>
      <c r="AF74" s="592"/>
      <c r="AG74" s="592"/>
      <c r="AH74" s="592"/>
      <c r="AI74" s="592"/>
      <c r="AJ74" s="592"/>
      <c r="AK74" s="592"/>
      <c r="AL74" s="593"/>
      <c r="AM74" s="594">
        <f>(D46*17-3)*35</f>
        <v>1680</v>
      </c>
      <c r="AN74" s="594"/>
      <c r="AO74" s="594"/>
      <c r="AP74" s="700">
        <f>32*2/17</f>
        <v>3.7647058823529411</v>
      </c>
      <c r="AQ74" s="699"/>
      <c r="AR74" s="699"/>
      <c r="AS74" s="699"/>
      <c r="AT74" s="699"/>
      <c r="AU74" s="699"/>
      <c r="AV74" s="699"/>
      <c r="AW74" s="699"/>
      <c r="AX74" s="699"/>
      <c r="AY74" s="699"/>
      <c r="AZ74" s="699"/>
      <c r="BA74" s="699"/>
      <c r="BB74" s="699"/>
      <c r="BC74" s="699"/>
      <c r="BD74" s="699"/>
      <c r="BE74" s="699"/>
      <c r="BF74" s="699"/>
      <c r="BG74" s="699"/>
      <c r="BH74" s="699"/>
    </row>
    <row r="75" spans="1:60" s="220" customFormat="1" ht="13.5" hidden="1" customHeight="1" x14ac:dyDescent="0.25">
      <c r="A75" s="591" t="s">
        <v>405</v>
      </c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3"/>
      <c r="O75" s="594">
        <f>9*10+9*4</f>
        <v>126</v>
      </c>
      <c r="P75" s="594"/>
      <c r="Q75" s="594"/>
      <c r="R75" s="594"/>
      <c r="S75" s="594"/>
      <c r="T75" s="594">
        <f>SUM(O74:S76)</f>
        <v>1705</v>
      </c>
      <c r="U75" s="594"/>
      <c r="V75" s="594"/>
      <c r="W75" s="594"/>
      <c r="X75" s="591" t="s">
        <v>389</v>
      </c>
      <c r="Y75" s="592"/>
      <c r="Z75" s="592"/>
      <c r="AA75" s="592"/>
      <c r="AB75" s="592"/>
      <c r="AC75" s="592"/>
      <c r="AD75" s="592"/>
      <c r="AE75" s="592"/>
      <c r="AF75" s="592"/>
      <c r="AG75" s="592"/>
      <c r="AH75" s="592"/>
      <c r="AI75" s="592"/>
      <c r="AJ75" s="592"/>
      <c r="AK75" s="592"/>
      <c r="AL75" s="593"/>
      <c r="AM75" s="594">
        <f>T75-AM74</f>
        <v>25</v>
      </c>
      <c r="AN75" s="594"/>
      <c r="AO75" s="594"/>
      <c r="AP75" s="700"/>
      <c r="AQ75" s="699"/>
      <c r="AR75" s="699"/>
      <c r="AS75" s="699"/>
      <c r="AT75" s="699"/>
      <c r="AU75" s="699"/>
      <c r="AV75" s="699"/>
      <c r="AW75" s="699"/>
      <c r="AX75" s="699"/>
      <c r="AY75" s="699"/>
      <c r="AZ75" s="699"/>
      <c r="BA75" s="699"/>
      <c r="BB75" s="699"/>
      <c r="BC75" s="699"/>
      <c r="BD75" s="699"/>
      <c r="BE75" s="699"/>
      <c r="BF75" s="699"/>
      <c r="BG75" s="699"/>
      <c r="BH75" s="699"/>
    </row>
    <row r="76" spans="1:60" s="220" customFormat="1" ht="13.5" hidden="1" customHeight="1" x14ac:dyDescent="0.25">
      <c r="A76" s="591" t="s">
        <v>386</v>
      </c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3"/>
      <c r="O76" s="594"/>
      <c r="P76" s="594"/>
      <c r="Q76" s="594"/>
      <c r="R76" s="594"/>
      <c r="S76" s="594"/>
      <c r="T76" s="594"/>
      <c r="U76" s="594"/>
      <c r="V76" s="594"/>
      <c r="W76" s="594"/>
      <c r="X76" s="595" t="s">
        <v>398</v>
      </c>
      <c r="Y76" s="596"/>
      <c r="Z76" s="596"/>
      <c r="AA76" s="596"/>
      <c r="AB76" s="596"/>
      <c r="AC76" s="596"/>
      <c r="AD76" s="596"/>
      <c r="AE76" s="596"/>
      <c r="AF76" s="596"/>
      <c r="AG76" s="596"/>
      <c r="AH76" s="596"/>
      <c r="AI76" s="596"/>
      <c r="AJ76" s="596"/>
      <c r="AK76" s="596"/>
      <c r="AL76" s="597"/>
      <c r="AM76" s="601">
        <f>AM75/35</f>
        <v>0.7142857142857143</v>
      </c>
      <c r="AN76" s="602"/>
      <c r="AO76" s="603"/>
      <c r="AP76" s="700"/>
      <c r="AQ76" s="699"/>
      <c r="AR76" s="699"/>
      <c r="AS76" s="699"/>
      <c r="AT76" s="699"/>
      <c r="AU76" s="699"/>
      <c r="AV76" s="699"/>
      <c r="AW76" s="699"/>
      <c r="AX76" s="699"/>
      <c r="AY76" s="699"/>
      <c r="AZ76" s="699"/>
      <c r="BA76" s="699"/>
      <c r="BB76" s="699"/>
      <c r="BC76" s="699"/>
      <c r="BD76" s="699"/>
      <c r="BE76" s="699"/>
      <c r="BF76" s="699"/>
      <c r="BG76" s="699"/>
      <c r="BH76" s="699"/>
    </row>
    <row r="77" spans="1:60" s="220" customFormat="1" ht="13.5" hidden="1" customHeight="1" x14ac:dyDescent="0.25">
      <c r="A77" s="222"/>
      <c r="B77" s="223" t="s">
        <v>393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</row>
    <row r="78" spans="1:60" s="220" customFormat="1" ht="13.5" hidden="1" customHeight="1" x14ac:dyDescent="0.25">
      <c r="A78" s="591" t="s">
        <v>415</v>
      </c>
      <c r="B78" s="592"/>
      <c r="C78" s="592"/>
      <c r="D78" s="592"/>
      <c r="E78" s="592"/>
      <c r="F78" s="592"/>
      <c r="G78" s="592"/>
      <c r="H78" s="592"/>
      <c r="I78" s="592"/>
      <c r="J78" s="592"/>
      <c r="K78" s="592"/>
      <c r="L78" s="592"/>
      <c r="M78" s="592"/>
      <c r="N78" s="593"/>
      <c r="O78" s="594">
        <f>P37*18+AI37*17</f>
        <v>770</v>
      </c>
      <c r="P78" s="594"/>
      <c r="Q78" s="594"/>
      <c r="R78" s="594"/>
      <c r="S78" s="594"/>
      <c r="T78" s="594" t="s">
        <v>184</v>
      </c>
      <c r="U78" s="594"/>
      <c r="V78" s="594"/>
      <c r="W78" s="594"/>
      <c r="X78" s="591" t="s">
        <v>387</v>
      </c>
      <c r="Y78" s="592"/>
      <c r="Z78" s="592"/>
      <c r="AA78" s="592"/>
      <c r="AB78" s="592"/>
      <c r="AC78" s="592"/>
      <c r="AD78" s="592"/>
      <c r="AE78" s="592"/>
      <c r="AF78" s="592"/>
      <c r="AG78" s="592"/>
      <c r="AH78" s="592"/>
      <c r="AI78" s="592"/>
      <c r="AJ78" s="592"/>
      <c r="AK78" s="592"/>
      <c r="AL78" s="593"/>
      <c r="AM78" s="594">
        <f>(D47*17-1)*35+(5*15)+(4*9)</f>
        <v>1266</v>
      </c>
      <c r="AN78" s="594"/>
      <c r="AO78" s="594"/>
      <c r="AP78" s="701">
        <f>AM75+AM79</f>
        <v>-422</v>
      </c>
      <c r="AQ78" s="702"/>
      <c r="AR78" s="702"/>
      <c r="AS78" s="702"/>
      <c r="AT78" s="702"/>
      <c r="AU78" s="702"/>
      <c r="AV78" s="702"/>
      <c r="AW78" s="702"/>
      <c r="AX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</row>
    <row r="79" spans="1:60" s="220" customFormat="1" ht="13.5" hidden="1" customHeight="1" x14ac:dyDescent="0.25">
      <c r="A79" s="591" t="s">
        <v>405</v>
      </c>
      <c r="B79" s="592"/>
      <c r="C79" s="592"/>
      <c r="D79" s="592"/>
      <c r="E79" s="592"/>
      <c r="F79" s="592"/>
      <c r="G79" s="592"/>
      <c r="H79" s="592"/>
      <c r="I79" s="592"/>
      <c r="J79" s="592"/>
      <c r="K79" s="592"/>
      <c r="L79" s="592"/>
      <c r="M79" s="592"/>
      <c r="N79" s="593"/>
      <c r="O79" s="594">
        <f>3.5*10+3.5*4</f>
        <v>49</v>
      </c>
      <c r="P79" s="594"/>
      <c r="Q79" s="594"/>
      <c r="R79" s="594"/>
      <c r="S79" s="594"/>
      <c r="T79" s="594">
        <f>SUM(O78:S80)</f>
        <v>819</v>
      </c>
      <c r="U79" s="594"/>
      <c r="V79" s="594"/>
      <c r="W79" s="594"/>
      <c r="X79" s="591" t="s">
        <v>389</v>
      </c>
      <c r="Y79" s="592"/>
      <c r="Z79" s="592"/>
      <c r="AA79" s="592"/>
      <c r="AB79" s="592"/>
      <c r="AC79" s="592"/>
      <c r="AD79" s="592"/>
      <c r="AE79" s="592"/>
      <c r="AF79" s="592"/>
      <c r="AG79" s="592"/>
      <c r="AH79" s="592"/>
      <c r="AI79" s="592"/>
      <c r="AJ79" s="592"/>
      <c r="AK79" s="592"/>
      <c r="AL79" s="593"/>
      <c r="AM79" s="594">
        <f>T79-AM78</f>
        <v>-447</v>
      </c>
      <c r="AN79" s="594"/>
      <c r="AO79" s="594"/>
      <c r="AP79" s="701"/>
      <c r="AQ79" s="702"/>
      <c r="AR79" s="702"/>
      <c r="AS79" s="702"/>
      <c r="AT79" s="702"/>
      <c r="AU79" s="702"/>
      <c r="AV79" s="702"/>
      <c r="AW79" s="702"/>
      <c r="AX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</row>
    <row r="80" spans="1:60" s="220" customFormat="1" ht="13.5" hidden="1" customHeight="1" x14ac:dyDescent="0.25">
      <c r="A80" s="591" t="s">
        <v>386</v>
      </c>
      <c r="B80" s="592"/>
      <c r="C80" s="592"/>
      <c r="D80" s="592"/>
      <c r="E80" s="592"/>
      <c r="F80" s="592"/>
      <c r="G80" s="592"/>
      <c r="H80" s="592"/>
      <c r="I80" s="592"/>
      <c r="J80" s="592"/>
      <c r="K80" s="592"/>
      <c r="L80" s="592"/>
      <c r="M80" s="592"/>
      <c r="N80" s="593"/>
      <c r="O80" s="594"/>
      <c r="P80" s="594"/>
      <c r="Q80" s="594"/>
      <c r="R80" s="594"/>
      <c r="S80" s="594"/>
      <c r="T80" s="594"/>
      <c r="U80" s="594"/>
      <c r="V80" s="594"/>
      <c r="W80" s="594"/>
      <c r="X80" s="595" t="s">
        <v>398</v>
      </c>
      <c r="Y80" s="596"/>
      <c r="Z80" s="596"/>
      <c r="AA80" s="596"/>
      <c r="AB80" s="596"/>
      <c r="AC80" s="596"/>
      <c r="AD80" s="596"/>
      <c r="AE80" s="596"/>
      <c r="AF80" s="596"/>
      <c r="AG80" s="596"/>
      <c r="AH80" s="596"/>
      <c r="AI80" s="596"/>
      <c r="AJ80" s="596"/>
      <c r="AK80" s="596"/>
      <c r="AL80" s="597"/>
      <c r="AM80" s="601">
        <f>AM79/35</f>
        <v>-12.771428571428572</v>
      </c>
      <c r="AN80" s="602"/>
      <c r="AO80" s="603"/>
      <c r="AP80" s="701"/>
      <c r="AQ80" s="702"/>
      <c r="AR80" s="702"/>
      <c r="AS80" s="702"/>
      <c r="AT80" s="702"/>
      <c r="AU80" s="702"/>
      <c r="AV80" s="702"/>
      <c r="AW80" s="702"/>
      <c r="AX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</row>
    <row r="81" spans="1:60" s="220" customFormat="1" ht="13.5" hidden="1" customHeight="1" x14ac:dyDescent="0.25">
      <c r="A81" s="224"/>
      <c r="B81" s="221" t="s">
        <v>394</v>
      </c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</row>
    <row r="82" spans="1:60" s="220" customFormat="1" ht="13.5" hidden="1" customHeight="1" x14ac:dyDescent="0.25">
      <c r="A82" s="587" t="s">
        <v>412</v>
      </c>
      <c r="B82" s="588"/>
      <c r="C82" s="588"/>
      <c r="D82" s="588"/>
      <c r="E82" s="588"/>
      <c r="F82" s="588"/>
      <c r="G82" s="588"/>
      <c r="H82" s="588"/>
      <c r="I82" s="588"/>
      <c r="J82" s="588"/>
      <c r="K82" s="588"/>
      <c r="L82" s="588"/>
      <c r="M82" s="588"/>
      <c r="N82" s="589"/>
      <c r="O82" s="590">
        <f>O37*18+AH37*17</f>
        <v>1365</v>
      </c>
      <c r="P82" s="590"/>
      <c r="Q82" s="590"/>
      <c r="R82" s="590"/>
      <c r="S82" s="590"/>
      <c r="T82" s="590" t="s">
        <v>184</v>
      </c>
      <c r="U82" s="590"/>
      <c r="V82" s="590"/>
      <c r="W82" s="590"/>
      <c r="X82" s="587" t="s">
        <v>387</v>
      </c>
      <c r="Y82" s="588"/>
      <c r="Z82" s="588"/>
      <c r="AA82" s="588"/>
      <c r="AB82" s="588"/>
      <c r="AC82" s="588"/>
      <c r="AD82" s="588"/>
      <c r="AE82" s="588"/>
      <c r="AF82" s="588"/>
      <c r="AG82" s="588"/>
      <c r="AH82" s="588"/>
      <c r="AI82" s="588"/>
      <c r="AJ82" s="588"/>
      <c r="AK82" s="588"/>
      <c r="AL82" s="589"/>
      <c r="AM82" s="590">
        <f>(D48*17-3)*35</f>
        <v>2275</v>
      </c>
      <c r="AN82" s="590"/>
      <c r="AO82" s="590"/>
      <c r="AP82" s="700"/>
      <c r="AQ82" s="699"/>
      <c r="AR82" s="699"/>
      <c r="AS82" s="699"/>
      <c r="AT82" s="699"/>
      <c r="AU82" s="699"/>
      <c r="AV82" s="699"/>
      <c r="AW82" s="699"/>
      <c r="AX82" s="699"/>
      <c r="AY82" s="699"/>
      <c r="AZ82" s="699"/>
      <c r="BA82" s="699"/>
      <c r="BB82" s="699"/>
      <c r="BC82" s="699"/>
      <c r="BD82" s="699"/>
      <c r="BE82" s="699"/>
      <c r="BF82" s="699"/>
      <c r="BG82" s="699"/>
      <c r="BH82" s="699"/>
    </row>
    <row r="83" spans="1:60" s="220" customFormat="1" ht="13.5" hidden="1" customHeight="1" x14ac:dyDescent="0.25">
      <c r="A83" s="587" t="s">
        <v>410</v>
      </c>
      <c r="B83" s="588"/>
      <c r="C83" s="588"/>
      <c r="D83" s="588"/>
      <c r="E83" s="588"/>
      <c r="F83" s="588"/>
      <c r="G83" s="588"/>
      <c r="H83" s="588"/>
      <c r="I83" s="588"/>
      <c r="J83" s="588"/>
      <c r="K83" s="588"/>
      <c r="L83" s="588"/>
      <c r="M83" s="588"/>
      <c r="N83" s="589"/>
      <c r="O83" s="590">
        <f>9*10+9*8</f>
        <v>162</v>
      </c>
      <c r="P83" s="590"/>
      <c r="Q83" s="590"/>
      <c r="R83" s="590"/>
      <c r="S83" s="590"/>
      <c r="T83" s="590">
        <f>SUM(O82:S84)</f>
        <v>1886.75</v>
      </c>
      <c r="U83" s="590"/>
      <c r="V83" s="590"/>
      <c r="W83" s="590"/>
      <c r="X83" s="587" t="s">
        <v>389</v>
      </c>
      <c r="Y83" s="588"/>
      <c r="Z83" s="588"/>
      <c r="AA83" s="588"/>
      <c r="AB83" s="588"/>
      <c r="AC83" s="588"/>
      <c r="AD83" s="588"/>
      <c r="AE83" s="588"/>
      <c r="AF83" s="588"/>
      <c r="AG83" s="588"/>
      <c r="AH83" s="588"/>
      <c r="AI83" s="588"/>
      <c r="AJ83" s="588"/>
      <c r="AK83" s="588"/>
      <c r="AL83" s="589"/>
      <c r="AM83" s="590">
        <f>T83-AM82</f>
        <v>-388.25</v>
      </c>
      <c r="AN83" s="590"/>
      <c r="AO83" s="590"/>
      <c r="AP83" s="700"/>
      <c r="AQ83" s="699"/>
      <c r="AR83" s="699"/>
      <c r="AS83" s="699"/>
      <c r="AT83" s="699"/>
      <c r="AU83" s="699"/>
      <c r="AV83" s="699"/>
      <c r="AW83" s="699"/>
      <c r="AX83" s="699"/>
      <c r="AY83" s="699"/>
      <c r="AZ83" s="699"/>
      <c r="BA83" s="699"/>
      <c r="BB83" s="699"/>
      <c r="BC83" s="699"/>
      <c r="BD83" s="699"/>
      <c r="BE83" s="699"/>
      <c r="BF83" s="699"/>
      <c r="BG83" s="699"/>
      <c r="BH83" s="699"/>
    </row>
    <row r="84" spans="1:60" s="220" customFormat="1" ht="13.5" hidden="1" customHeight="1" x14ac:dyDescent="0.25">
      <c r="A84" s="587" t="s">
        <v>386</v>
      </c>
      <c r="B84" s="588"/>
      <c r="C84" s="588"/>
      <c r="D84" s="588"/>
      <c r="E84" s="588"/>
      <c r="F84" s="588"/>
      <c r="G84" s="588"/>
      <c r="H84" s="588"/>
      <c r="I84" s="588"/>
      <c r="J84" s="588"/>
      <c r="K84" s="588"/>
      <c r="L84" s="588"/>
      <c r="M84" s="588"/>
      <c r="N84" s="589"/>
      <c r="O84" s="590">
        <f>(L48*6+N48*4.75)*18+(R48*6+T48*4.75)*17</f>
        <v>359.75</v>
      </c>
      <c r="P84" s="590"/>
      <c r="Q84" s="590"/>
      <c r="R84" s="590"/>
      <c r="S84" s="590"/>
      <c r="T84" s="590"/>
      <c r="U84" s="590"/>
      <c r="V84" s="590"/>
      <c r="W84" s="590"/>
      <c r="X84" s="595" t="s">
        <v>398</v>
      </c>
      <c r="Y84" s="596"/>
      <c r="Z84" s="596"/>
      <c r="AA84" s="596"/>
      <c r="AB84" s="596"/>
      <c r="AC84" s="596"/>
      <c r="AD84" s="596"/>
      <c r="AE84" s="596"/>
      <c r="AF84" s="596"/>
      <c r="AG84" s="596"/>
      <c r="AH84" s="596"/>
      <c r="AI84" s="596"/>
      <c r="AJ84" s="596"/>
      <c r="AK84" s="596"/>
      <c r="AL84" s="597"/>
      <c r="AM84" s="598">
        <f>AM83/35</f>
        <v>-11.092857142857143</v>
      </c>
      <c r="AN84" s="599"/>
      <c r="AO84" s="600"/>
      <c r="AP84" s="700"/>
      <c r="AQ84" s="699"/>
      <c r="AR84" s="699"/>
      <c r="AS84" s="699"/>
      <c r="AT84" s="699"/>
      <c r="AU84" s="699"/>
      <c r="AV84" s="699"/>
      <c r="AW84" s="699"/>
      <c r="AX84" s="699"/>
      <c r="AY84" s="699"/>
      <c r="AZ84" s="699"/>
      <c r="BA84" s="699"/>
      <c r="BB84" s="699"/>
      <c r="BC84" s="699"/>
      <c r="BD84" s="699"/>
      <c r="BE84" s="699"/>
      <c r="BF84" s="699"/>
      <c r="BG84" s="699"/>
      <c r="BH84" s="699"/>
    </row>
    <row r="85" spans="1:60" s="220" customFormat="1" ht="13.5" hidden="1" customHeight="1" x14ac:dyDescent="0.25">
      <c r="A85" s="222"/>
      <c r="B85" s="223" t="s">
        <v>395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</row>
    <row r="86" spans="1:60" s="220" customFormat="1" ht="13.5" hidden="1" customHeight="1" x14ac:dyDescent="0.25">
      <c r="A86" s="591" t="s">
        <v>396</v>
      </c>
      <c r="B86" s="592"/>
      <c r="C86" s="592"/>
      <c r="D86" s="592"/>
      <c r="E86" s="592"/>
      <c r="F86" s="592"/>
      <c r="G86" s="592"/>
      <c r="H86" s="592"/>
      <c r="I86" s="592"/>
      <c r="J86" s="592"/>
      <c r="K86" s="592"/>
      <c r="L86" s="592"/>
      <c r="M86" s="592"/>
      <c r="N86" s="593"/>
      <c r="O86" s="594">
        <f>F37*18+Y37*17</f>
        <v>2940</v>
      </c>
      <c r="P86" s="594"/>
      <c r="Q86" s="594"/>
      <c r="R86" s="594"/>
      <c r="S86" s="594"/>
      <c r="T86" s="594" t="s">
        <v>184</v>
      </c>
      <c r="U86" s="594"/>
      <c r="V86" s="594"/>
      <c r="W86" s="594"/>
      <c r="X86" s="591" t="s">
        <v>387</v>
      </c>
      <c r="Y86" s="592"/>
      <c r="Z86" s="592"/>
      <c r="AA86" s="592"/>
      <c r="AB86" s="592"/>
      <c r="AC86" s="592"/>
      <c r="AD86" s="592"/>
      <c r="AE86" s="592"/>
      <c r="AF86" s="592"/>
      <c r="AG86" s="592"/>
      <c r="AH86" s="592"/>
      <c r="AI86" s="592"/>
      <c r="AJ86" s="592"/>
      <c r="AK86" s="592"/>
      <c r="AL86" s="593"/>
      <c r="AM86" s="594">
        <f>(D49*17-3)*35</f>
        <v>3465</v>
      </c>
      <c r="AN86" s="594"/>
      <c r="AO86" s="594"/>
      <c r="AP86" s="700"/>
      <c r="AQ86" s="699"/>
      <c r="AR86" s="699"/>
      <c r="AS86" s="699"/>
      <c r="AT86" s="699"/>
      <c r="AU86" s="699"/>
      <c r="AV86" s="699"/>
      <c r="AW86" s="699"/>
      <c r="AX86" s="699"/>
      <c r="AY86" s="699"/>
      <c r="AZ86" s="699"/>
      <c r="BA86" s="699"/>
      <c r="BB86" s="699"/>
      <c r="BC86" s="699"/>
      <c r="BD86" s="699"/>
      <c r="BE86" s="699"/>
      <c r="BF86" s="699"/>
      <c r="BG86" s="699"/>
      <c r="BH86" s="699"/>
    </row>
    <row r="87" spans="1:60" s="220" customFormat="1" ht="13.5" hidden="1" customHeight="1" x14ac:dyDescent="0.25">
      <c r="A87" s="591" t="s">
        <v>405</v>
      </c>
      <c r="B87" s="592"/>
      <c r="C87" s="592"/>
      <c r="D87" s="592"/>
      <c r="E87" s="592"/>
      <c r="F87" s="592"/>
      <c r="G87" s="592"/>
      <c r="H87" s="592"/>
      <c r="I87" s="592"/>
      <c r="J87" s="592"/>
      <c r="K87" s="592"/>
      <c r="L87" s="592"/>
      <c r="M87" s="592"/>
      <c r="N87" s="593"/>
      <c r="O87" s="594">
        <v>0</v>
      </c>
      <c r="P87" s="594"/>
      <c r="Q87" s="594"/>
      <c r="R87" s="594"/>
      <c r="S87" s="594"/>
      <c r="T87" s="594">
        <f>SUM(O86:S88)</f>
        <v>3419.5</v>
      </c>
      <c r="U87" s="594"/>
      <c r="V87" s="594"/>
      <c r="W87" s="594"/>
      <c r="X87" s="591" t="s">
        <v>389</v>
      </c>
      <c r="Y87" s="592"/>
      <c r="Z87" s="592"/>
      <c r="AA87" s="592"/>
      <c r="AB87" s="592"/>
      <c r="AC87" s="592"/>
      <c r="AD87" s="592"/>
      <c r="AE87" s="592"/>
      <c r="AF87" s="592"/>
      <c r="AG87" s="592"/>
      <c r="AH87" s="592"/>
      <c r="AI87" s="592"/>
      <c r="AJ87" s="592"/>
      <c r="AK87" s="592"/>
      <c r="AL87" s="593"/>
      <c r="AM87" s="594">
        <f>T87-AM86</f>
        <v>-45.5</v>
      </c>
      <c r="AN87" s="594"/>
      <c r="AO87" s="594"/>
      <c r="AP87" s="700"/>
      <c r="AQ87" s="699"/>
      <c r="AR87" s="699"/>
      <c r="AS87" s="699"/>
      <c r="AT87" s="699"/>
      <c r="AU87" s="699"/>
      <c r="AV87" s="699"/>
      <c r="AW87" s="699"/>
      <c r="AX87" s="699"/>
      <c r="AY87" s="699"/>
      <c r="AZ87" s="699"/>
      <c r="BA87" s="699"/>
      <c r="BB87" s="699"/>
      <c r="BC87" s="699"/>
      <c r="BD87" s="699"/>
      <c r="BE87" s="699"/>
      <c r="BF87" s="699"/>
      <c r="BG87" s="699"/>
      <c r="BH87" s="699"/>
    </row>
    <row r="88" spans="1:60" s="220" customFormat="1" ht="13.5" hidden="1" customHeight="1" x14ac:dyDescent="0.25">
      <c r="A88" s="591" t="s">
        <v>386</v>
      </c>
      <c r="B88" s="592"/>
      <c r="C88" s="592"/>
      <c r="D88" s="592"/>
      <c r="E88" s="592"/>
      <c r="F88" s="592"/>
      <c r="G88" s="592"/>
      <c r="H88" s="592"/>
      <c r="I88" s="592"/>
      <c r="J88" s="592"/>
      <c r="K88" s="592"/>
      <c r="L88" s="592"/>
      <c r="M88" s="592"/>
      <c r="N88" s="593"/>
      <c r="O88" s="590">
        <f>(L49*6+N49*4.75)*18+(R49*6+T49*4.75)*17</f>
        <v>479.5</v>
      </c>
      <c r="P88" s="590"/>
      <c r="Q88" s="590"/>
      <c r="R88" s="590"/>
      <c r="S88" s="590"/>
      <c r="T88" s="594"/>
      <c r="U88" s="594"/>
      <c r="V88" s="594"/>
      <c r="W88" s="594"/>
      <c r="X88" s="595" t="s">
        <v>398</v>
      </c>
      <c r="Y88" s="596"/>
      <c r="Z88" s="596"/>
      <c r="AA88" s="596"/>
      <c r="AB88" s="596"/>
      <c r="AC88" s="596"/>
      <c r="AD88" s="596"/>
      <c r="AE88" s="596"/>
      <c r="AF88" s="596"/>
      <c r="AG88" s="596"/>
      <c r="AH88" s="596"/>
      <c r="AI88" s="596"/>
      <c r="AJ88" s="596"/>
      <c r="AK88" s="596"/>
      <c r="AL88" s="597"/>
      <c r="AM88" s="601">
        <f>AM87/35</f>
        <v>-1.3</v>
      </c>
      <c r="AN88" s="602"/>
      <c r="AO88" s="603"/>
      <c r="AP88" s="700"/>
      <c r="AQ88" s="699"/>
      <c r="AR88" s="699"/>
      <c r="AS88" s="699"/>
      <c r="AT88" s="699"/>
      <c r="AU88" s="699"/>
      <c r="AV88" s="699"/>
      <c r="AW88" s="699"/>
      <c r="AX88" s="699"/>
      <c r="AY88" s="699"/>
      <c r="AZ88" s="699"/>
      <c r="BA88" s="699"/>
      <c r="BB88" s="699"/>
      <c r="BC88" s="699"/>
      <c r="BD88" s="699"/>
      <c r="BE88" s="699"/>
      <c r="BF88" s="699"/>
      <c r="BG88" s="699"/>
      <c r="BH88" s="699"/>
    </row>
    <row r="89" spans="1:60" s="220" customFormat="1" ht="13.5" hidden="1" customHeight="1" x14ac:dyDescent="0.25">
      <c r="A89" s="224"/>
      <c r="B89" s="221" t="s">
        <v>397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</row>
    <row r="90" spans="1:60" s="220" customFormat="1" ht="13.5" hidden="1" customHeight="1" x14ac:dyDescent="0.25">
      <c r="A90" s="587" t="s">
        <v>413</v>
      </c>
      <c r="B90" s="588"/>
      <c r="C90" s="588"/>
      <c r="D90" s="588"/>
      <c r="E90" s="588"/>
      <c r="F90" s="588"/>
      <c r="G90" s="588"/>
      <c r="H90" s="588"/>
      <c r="I90" s="588"/>
      <c r="J90" s="588"/>
      <c r="K90" s="588"/>
      <c r="L90" s="588"/>
      <c r="M90" s="588"/>
      <c r="N90" s="589"/>
      <c r="O90" s="590">
        <f>G37*18+Z37*17</f>
        <v>1960</v>
      </c>
      <c r="P90" s="590"/>
      <c r="Q90" s="590"/>
      <c r="R90" s="590"/>
      <c r="S90" s="590"/>
      <c r="T90" s="590" t="s">
        <v>184</v>
      </c>
      <c r="U90" s="590"/>
      <c r="V90" s="590"/>
      <c r="W90" s="590"/>
      <c r="X90" s="587" t="s">
        <v>387</v>
      </c>
      <c r="Y90" s="588"/>
      <c r="Z90" s="588"/>
      <c r="AA90" s="588"/>
      <c r="AB90" s="588"/>
      <c r="AC90" s="588"/>
      <c r="AD90" s="588"/>
      <c r="AE90" s="588"/>
      <c r="AF90" s="588"/>
      <c r="AG90" s="588"/>
      <c r="AH90" s="588"/>
      <c r="AI90" s="588"/>
      <c r="AJ90" s="588"/>
      <c r="AK90" s="588"/>
      <c r="AL90" s="589"/>
      <c r="AM90" s="590">
        <f>(D50*17-22.85)*35-(5*7)</f>
        <v>2140.25</v>
      </c>
      <c r="AN90" s="590"/>
      <c r="AO90" s="590"/>
      <c r="AP90" s="700"/>
      <c r="AQ90" s="699"/>
      <c r="AR90" s="699"/>
      <c r="AS90" s="699"/>
      <c r="AT90" s="699"/>
      <c r="AU90" s="699"/>
      <c r="AV90" s="699"/>
      <c r="AW90" s="699"/>
      <c r="AX90" s="699"/>
      <c r="AY90" s="699"/>
      <c r="AZ90" s="699"/>
      <c r="BA90" s="699"/>
      <c r="BB90" s="699"/>
      <c r="BC90" s="699"/>
      <c r="BD90" s="699"/>
      <c r="BE90" s="699"/>
      <c r="BF90" s="699"/>
      <c r="BG90" s="699"/>
      <c r="BH90" s="699"/>
    </row>
    <row r="91" spans="1:60" s="220" customFormat="1" ht="13.5" hidden="1" customHeight="1" x14ac:dyDescent="0.25">
      <c r="A91" s="587" t="s">
        <v>414</v>
      </c>
      <c r="B91" s="588"/>
      <c r="C91" s="588"/>
      <c r="D91" s="588"/>
      <c r="E91" s="588"/>
      <c r="F91" s="588"/>
      <c r="G91" s="588"/>
      <c r="H91" s="588"/>
      <c r="I91" s="588"/>
      <c r="J91" s="588"/>
      <c r="K91" s="588"/>
      <c r="L91" s="588"/>
      <c r="M91" s="588"/>
      <c r="N91" s="589"/>
      <c r="O91" s="590">
        <f>H37*18+AA37*17</f>
        <v>980</v>
      </c>
      <c r="P91" s="590"/>
      <c r="Q91" s="590"/>
      <c r="R91" s="590"/>
      <c r="S91" s="590"/>
      <c r="T91" s="590">
        <f>SUM(O90:S92)</f>
        <v>2940</v>
      </c>
      <c r="U91" s="590"/>
      <c r="V91" s="590"/>
      <c r="W91" s="590"/>
      <c r="X91" s="587" t="s">
        <v>389</v>
      </c>
      <c r="Y91" s="588"/>
      <c r="Z91" s="588"/>
      <c r="AA91" s="588"/>
      <c r="AB91" s="588"/>
      <c r="AC91" s="588"/>
      <c r="AD91" s="588"/>
      <c r="AE91" s="588"/>
      <c r="AF91" s="588"/>
      <c r="AG91" s="588"/>
      <c r="AH91" s="588"/>
      <c r="AI91" s="588"/>
      <c r="AJ91" s="588"/>
      <c r="AK91" s="588"/>
      <c r="AL91" s="589"/>
      <c r="AM91" s="590">
        <f>T91-AM90</f>
        <v>799.75</v>
      </c>
      <c r="AN91" s="590"/>
      <c r="AO91" s="590"/>
      <c r="AP91" s="700"/>
      <c r="AQ91" s="699"/>
      <c r="AR91" s="699"/>
      <c r="AS91" s="699"/>
      <c r="AT91" s="699"/>
      <c r="AU91" s="699"/>
      <c r="AV91" s="699"/>
      <c r="AW91" s="699"/>
      <c r="AX91" s="699"/>
      <c r="AY91" s="699"/>
      <c r="AZ91" s="699"/>
      <c r="BA91" s="699"/>
      <c r="BB91" s="699"/>
      <c r="BC91" s="699"/>
      <c r="BD91" s="699"/>
      <c r="BE91" s="699"/>
      <c r="BF91" s="699"/>
      <c r="BG91" s="699"/>
      <c r="BH91" s="699"/>
    </row>
    <row r="92" spans="1:60" s="220" customFormat="1" ht="13.5" hidden="1" customHeight="1" x14ac:dyDescent="0.25">
      <c r="A92" s="587" t="s">
        <v>386</v>
      </c>
      <c r="B92" s="588"/>
      <c r="C92" s="588"/>
      <c r="D92" s="588"/>
      <c r="E92" s="588"/>
      <c r="F92" s="588"/>
      <c r="G92" s="588"/>
      <c r="H92" s="588"/>
      <c r="I92" s="588"/>
      <c r="J92" s="588"/>
      <c r="K92" s="588"/>
      <c r="L92" s="588"/>
      <c r="M92" s="588"/>
      <c r="N92" s="589"/>
      <c r="O92" s="590">
        <v>0</v>
      </c>
      <c r="P92" s="590"/>
      <c r="Q92" s="590"/>
      <c r="R92" s="590"/>
      <c r="S92" s="590"/>
      <c r="T92" s="590"/>
      <c r="U92" s="590"/>
      <c r="V92" s="590"/>
      <c r="W92" s="590"/>
      <c r="X92" s="595" t="s">
        <v>398</v>
      </c>
      <c r="Y92" s="596"/>
      <c r="Z92" s="596"/>
      <c r="AA92" s="596"/>
      <c r="AB92" s="596"/>
      <c r="AC92" s="596"/>
      <c r="AD92" s="596"/>
      <c r="AE92" s="596"/>
      <c r="AF92" s="596"/>
      <c r="AG92" s="596"/>
      <c r="AH92" s="596"/>
      <c r="AI92" s="596"/>
      <c r="AJ92" s="596"/>
      <c r="AK92" s="596"/>
      <c r="AL92" s="597"/>
      <c r="AM92" s="598">
        <f>AM91/35</f>
        <v>22.85</v>
      </c>
      <c r="AN92" s="599"/>
      <c r="AO92" s="600"/>
      <c r="AP92" s="700"/>
      <c r="AQ92" s="699"/>
      <c r="AR92" s="699"/>
      <c r="AS92" s="699"/>
      <c r="AT92" s="699"/>
      <c r="AU92" s="699"/>
      <c r="AV92" s="699"/>
      <c r="AW92" s="699"/>
      <c r="AX92" s="699"/>
      <c r="AY92" s="699"/>
      <c r="AZ92" s="699"/>
      <c r="BA92" s="699"/>
      <c r="BB92" s="699"/>
      <c r="BC92" s="699"/>
      <c r="BD92" s="699"/>
      <c r="BE92" s="699"/>
      <c r="BF92" s="699"/>
      <c r="BG92" s="699"/>
      <c r="BH92" s="699"/>
    </row>
  </sheetData>
  <sortState ref="A7:BI16">
    <sortCondition ref="A7:A16"/>
  </sortState>
  <mergeCells count="527">
    <mergeCell ref="AP54:BH56"/>
    <mergeCell ref="AP58:BH60"/>
    <mergeCell ref="AP62:BH64"/>
    <mergeCell ref="AP90:BH92"/>
    <mergeCell ref="AP86:BH88"/>
    <mergeCell ref="AP82:BH84"/>
    <mergeCell ref="AP78:BH80"/>
    <mergeCell ref="AP74:BH76"/>
    <mergeCell ref="AP70:BH72"/>
    <mergeCell ref="AP66:BH68"/>
    <mergeCell ref="AZ49:BA49"/>
    <mergeCell ref="BB49:BC49"/>
    <mergeCell ref="BD49:BE49"/>
    <mergeCell ref="BF49:BH49"/>
    <mergeCell ref="AZ50:BA50"/>
    <mergeCell ref="BB50:BC50"/>
    <mergeCell ref="BD50:BE50"/>
    <mergeCell ref="BF50:BH50"/>
    <mergeCell ref="AZ43:BA43"/>
    <mergeCell ref="BB43:BC43"/>
    <mergeCell ref="BD43:BE43"/>
    <mergeCell ref="BF43:BH43"/>
    <mergeCell ref="AZ44:BA44"/>
    <mergeCell ref="BB44:BC44"/>
    <mergeCell ref="BD44:BE44"/>
    <mergeCell ref="BF44:BH44"/>
    <mergeCell ref="AZ45:BA45"/>
    <mergeCell ref="BB45:BC45"/>
    <mergeCell ref="BD45:BE45"/>
    <mergeCell ref="BF45:BH45"/>
    <mergeCell ref="AP39:AU39"/>
    <mergeCell ref="BF39:BH40"/>
    <mergeCell ref="AP40:AQ40"/>
    <mergeCell ref="AR40:AS40"/>
    <mergeCell ref="AV40:AW40"/>
    <mergeCell ref="AT40:AU40"/>
    <mergeCell ref="C5:C6"/>
    <mergeCell ref="B5:B6"/>
    <mergeCell ref="AZ51:BA51"/>
    <mergeCell ref="BB51:BC51"/>
    <mergeCell ref="BD51:BE51"/>
    <mergeCell ref="BF51:BH51"/>
    <mergeCell ref="AZ46:BA46"/>
    <mergeCell ref="BB46:BC46"/>
    <mergeCell ref="BD46:BE46"/>
    <mergeCell ref="BF46:BH46"/>
    <mergeCell ref="AZ47:BA47"/>
    <mergeCell ref="BB47:BC47"/>
    <mergeCell ref="BD47:BE47"/>
    <mergeCell ref="BF47:BH47"/>
    <mergeCell ref="AZ48:BA48"/>
    <mergeCell ref="BB48:BC48"/>
    <mergeCell ref="BD48:BE48"/>
    <mergeCell ref="BF48:BH48"/>
    <mergeCell ref="BD41:BE41"/>
    <mergeCell ref="BF41:BH41"/>
    <mergeCell ref="AZ42:BA42"/>
    <mergeCell ref="BB42:BC42"/>
    <mergeCell ref="BD42:BE42"/>
    <mergeCell ref="BF42:BH42"/>
    <mergeCell ref="BD40:BE40"/>
    <mergeCell ref="BB40:BC40"/>
    <mergeCell ref="AV39:AY39"/>
    <mergeCell ref="AX40:AY40"/>
    <mergeCell ref="AX51:AY51"/>
    <mergeCell ref="V1:BH2"/>
    <mergeCell ref="AX50:AY50"/>
    <mergeCell ref="AX49:AY49"/>
    <mergeCell ref="AX48:AY48"/>
    <mergeCell ref="AX47:AY47"/>
    <mergeCell ref="AX46:AY46"/>
    <mergeCell ref="AX45:AY45"/>
    <mergeCell ref="AX44:AY44"/>
    <mergeCell ref="AX43:AY43"/>
    <mergeCell ref="AX42:AY42"/>
    <mergeCell ref="AX41:AY41"/>
    <mergeCell ref="A38:BH38"/>
    <mergeCell ref="A2:U2"/>
    <mergeCell ref="AF40:AG40"/>
    <mergeCell ref="AD40:AE40"/>
    <mergeCell ref="AF41:AG41"/>
    <mergeCell ref="AF42:AG42"/>
    <mergeCell ref="A1:U1"/>
    <mergeCell ref="A3:BH3"/>
    <mergeCell ref="AZ40:BA40"/>
    <mergeCell ref="AZ39:BE39"/>
    <mergeCell ref="AZ41:BA41"/>
    <mergeCell ref="BB41:BC41"/>
    <mergeCell ref="T42:U42"/>
    <mergeCell ref="R43:S43"/>
    <mergeCell ref="Z39:AC39"/>
    <mergeCell ref="AB41:AC41"/>
    <mergeCell ref="AB40:AC40"/>
    <mergeCell ref="T41:U41"/>
    <mergeCell ref="V42:W42"/>
    <mergeCell ref="X43:Y43"/>
    <mergeCell ref="L43:M43"/>
    <mergeCell ref="L42:M42"/>
    <mergeCell ref="N40:O40"/>
    <mergeCell ref="V41:W41"/>
    <mergeCell ref="V40:W40"/>
    <mergeCell ref="P39:Q39"/>
    <mergeCell ref="R39:W39"/>
    <mergeCell ref="X39:Y39"/>
    <mergeCell ref="D43:E43"/>
    <mergeCell ref="B39:C40"/>
    <mergeCell ref="BH5:BH6"/>
    <mergeCell ref="W5:AO5"/>
    <mergeCell ref="D5:V5"/>
    <mergeCell ref="AN43:AO43"/>
    <mergeCell ref="AP43:AQ43"/>
    <mergeCell ref="AP42:AQ42"/>
    <mergeCell ref="AJ40:AK40"/>
    <mergeCell ref="J41:K41"/>
    <mergeCell ref="J40:K40"/>
    <mergeCell ref="D40:E40"/>
    <mergeCell ref="D41:E41"/>
    <mergeCell ref="D42:E42"/>
    <mergeCell ref="AP41:AQ41"/>
    <mergeCell ref="AP5:BG5"/>
    <mergeCell ref="P40:Q40"/>
    <mergeCell ref="R40:S40"/>
    <mergeCell ref="T40:U40"/>
    <mergeCell ref="P41:Q41"/>
    <mergeCell ref="R41:S41"/>
    <mergeCell ref="P43:Q43"/>
    <mergeCell ref="AB42:AC42"/>
    <mergeCell ref="R42:S42"/>
    <mergeCell ref="AP50:AQ50"/>
    <mergeCell ref="AP48:AQ48"/>
    <mergeCell ref="AJ51:AK51"/>
    <mergeCell ref="AJ48:AK48"/>
    <mergeCell ref="AH40:AI40"/>
    <mergeCell ref="L51:M51"/>
    <mergeCell ref="N51:O51"/>
    <mergeCell ref="P51:Q51"/>
    <mergeCell ref="R51:S51"/>
    <mergeCell ref="AH42:AI42"/>
    <mergeCell ref="AF45:AG45"/>
    <mergeCell ref="AH45:AI45"/>
    <mergeCell ref="AB50:AC50"/>
    <mergeCell ref="AB49:AC49"/>
    <mergeCell ref="AB48:AC48"/>
    <mergeCell ref="Z44:AA44"/>
    <mergeCell ref="Z43:AA43"/>
    <mergeCell ref="Z42:AA42"/>
    <mergeCell ref="Z41:AA41"/>
    <mergeCell ref="AJ42:AK42"/>
    <mergeCell ref="AH43:AI43"/>
    <mergeCell ref="AP49:AQ49"/>
    <mergeCell ref="AP51:AQ51"/>
    <mergeCell ref="L50:M50"/>
    <mergeCell ref="A51:C51"/>
    <mergeCell ref="AL51:AM51"/>
    <mergeCell ref="J51:K51"/>
    <mergeCell ref="AJ43:AK43"/>
    <mergeCell ref="L48:M48"/>
    <mergeCell ref="L47:M47"/>
    <mergeCell ref="L46:M46"/>
    <mergeCell ref="L45:M45"/>
    <mergeCell ref="N47:O47"/>
    <mergeCell ref="N46:O46"/>
    <mergeCell ref="AD49:AE49"/>
    <mergeCell ref="AL49:AM49"/>
    <mergeCell ref="AF49:AG49"/>
    <mergeCell ref="AH51:AI51"/>
    <mergeCell ref="AH50:AI50"/>
    <mergeCell ref="AJ50:AK50"/>
    <mergeCell ref="AB45:AC45"/>
    <mergeCell ref="Z47:AA47"/>
    <mergeCell ref="Z46:AA46"/>
    <mergeCell ref="Z45:AA45"/>
    <mergeCell ref="AB46:AC46"/>
    <mergeCell ref="AD51:AE51"/>
    <mergeCell ref="D51:E51"/>
    <mergeCell ref="F51:G51"/>
    <mergeCell ref="AT51:AU51"/>
    <mergeCell ref="AR41:AS41"/>
    <mergeCell ref="AR51:AS51"/>
    <mergeCell ref="AR50:AS50"/>
    <mergeCell ref="AR49:AS49"/>
    <mergeCell ref="AR48:AS48"/>
    <mergeCell ref="AT49:AU49"/>
    <mergeCell ref="AV49:AW49"/>
    <mergeCell ref="AV50:AW50"/>
    <mergeCell ref="AT50:AU50"/>
    <mergeCell ref="AT48:AU48"/>
    <mergeCell ref="AV48:AW48"/>
    <mergeCell ref="AV47:AW47"/>
    <mergeCell ref="AT47:AU47"/>
    <mergeCell ref="AV46:AW46"/>
    <mergeCell ref="AT46:AU46"/>
    <mergeCell ref="AV41:AW41"/>
    <mergeCell ref="AT41:AU41"/>
    <mergeCell ref="AR47:AS47"/>
    <mergeCell ref="AR44:AS44"/>
    <mergeCell ref="AR42:AS42"/>
    <mergeCell ref="AR46:AS46"/>
    <mergeCell ref="AR45:AS45"/>
    <mergeCell ref="AV42:AW42"/>
    <mergeCell ref="AT42:AU42"/>
    <mergeCell ref="AT45:AU45"/>
    <mergeCell ref="H51:I51"/>
    <mergeCell ref="H50:I50"/>
    <mergeCell ref="H49:I49"/>
    <mergeCell ref="H48:I48"/>
    <mergeCell ref="F50:G50"/>
    <mergeCell ref="F49:G49"/>
    <mergeCell ref="F48:G48"/>
    <mergeCell ref="AH49:AI49"/>
    <mergeCell ref="AJ49:AK49"/>
    <mergeCell ref="AF51:AG51"/>
    <mergeCell ref="AN51:AO51"/>
    <mergeCell ref="AB44:AC44"/>
    <mergeCell ref="AB43:AC43"/>
    <mergeCell ref="AL46:AM46"/>
    <mergeCell ref="AJ46:AK46"/>
    <mergeCell ref="V43:W43"/>
    <mergeCell ref="T43:U43"/>
    <mergeCell ref="AN47:AO47"/>
    <mergeCell ref="AF46:AG46"/>
    <mergeCell ref="AH46:AI46"/>
    <mergeCell ref="AL45:AM45"/>
    <mergeCell ref="AJ45:AK45"/>
    <mergeCell ref="AV51:AW51"/>
    <mergeCell ref="D49:E49"/>
    <mergeCell ref="D48:E48"/>
    <mergeCell ref="L49:M49"/>
    <mergeCell ref="T51:U51"/>
    <mergeCell ref="V51:W51"/>
    <mergeCell ref="X51:Y51"/>
    <mergeCell ref="Z51:AA51"/>
    <mergeCell ref="AB51:AC51"/>
    <mergeCell ref="N50:O50"/>
    <mergeCell ref="N49:O49"/>
    <mergeCell ref="T48:U48"/>
    <mergeCell ref="P48:Q48"/>
    <mergeCell ref="R49:S49"/>
    <mergeCell ref="J50:K50"/>
    <mergeCell ref="J49:K49"/>
    <mergeCell ref="J48:K48"/>
    <mergeCell ref="Z48:AA48"/>
    <mergeCell ref="T50:U50"/>
    <mergeCell ref="AN48:AO48"/>
    <mergeCell ref="AN49:AO49"/>
    <mergeCell ref="AN50:AO50"/>
    <mergeCell ref="AL48:AM48"/>
    <mergeCell ref="AH48:AI48"/>
    <mergeCell ref="AL50:AM50"/>
    <mergeCell ref="AD43:AE43"/>
    <mergeCell ref="AH44:AI44"/>
    <mergeCell ref="AJ44:AK44"/>
    <mergeCell ref="AN45:AO45"/>
    <mergeCell ref="AN44:AO44"/>
    <mergeCell ref="AD47:AE47"/>
    <mergeCell ref="AD46:AE46"/>
    <mergeCell ref="AD45:AE45"/>
    <mergeCell ref="AD44:AE44"/>
    <mergeCell ref="AN46:AO46"/>
    <mergeCell ref="AH47:AI47"/>
    <mergeCell ref="AJ47:AK47"/>
    <mergeCell ref="AF43:AG43"/>
    <mergeCell ref="AF44:AG44"/>
    <mergeCell ref="AL44:AM44"/>
    <mergeCell ref="X46:Y46"/>
    <mergeCell ref="T46:U46"/>
    <mergeCell ref="R45:S45"/>
    <mergeCell ref="T45:U45"/>
    <mergeCell ref="P47:Q47"/>
    <mergeCell ref="J47:K47"/>
    <mergeCell ref="J46:K46"/>
    <mergeCell ref="J45:K45"/>
    <mergeCell ref="J44:K44"/>
    <mergeCell ref="X44:Y44"/>
    <mergeCell ref="P44:Q44"/>
    <mergeCell ref="J42:K42"/>
    <mergeCell ref="N48:O48"/>
    <mergeCell ref="N45:O45"/>
    <mergeCell ref="N44:O44"/>
    <mergeCell ref="N43:O43"/>
    <mergeCell ref="N42:O42"/>
    <mergeCell ref="AF50:AG50"/>
    <mergeCell ref="AD50:AE50"/>
    <mergeCell ref="AF47:AG47"/>
    <mergeCell ref="AB47:AC47"/>
    <mergeCell ref="T47:U47"/>
    <mergeCell ref="X49:Y49"/>
    <mergeCell ref="X50:Y50"/>
    <mergeCell ref="V50:W50"/>
    <mergeCell ref="V49:W49"/>
    <mergeCell ref="T49:U49"/>
    <mergeCell ref="AF48:AG48"/>
    <mergeCell ref="AD48:AE48"/>
    <mergeCell ref="Z50:AA50"/>
    <mergeCell ref="Z49:AA49"/>
    <mergeCell ref="V47:W47"/>
    <mergeCell ref="X47:Y47"/>
    <mergeCell ref="X48:Y48"/>
    <mergeCell ref="X45:Y45"/>
    <mergeCell ref="B43:C43"/>
    <mergeCell ref="B45:C45"/>
    <mergeCell ref="B46:C46"/>
    <mergeCell ref="B44:C44"/>
    <mergeCell ref="B47:C47"/>
    <mergeCell ref="V48:W48"/>
    <mergeCell ref="R50:S50"/>
    <mergeCell ref="R47:S47"/>
    <mergeCell ref="R48:S48"/>
    <mergeCell ref="B48:C48"/>
    <mergeCell ref="J43:K43"/>
    <mergeCell ref="D47:E47"/>
    <mergeCell ref="D46:E46"/>
    <mergeCell ref="D45:E45"/>
    <mergeCell ref="D44:E44"/>
    <mergeCell ref="P46:Q46"/>
    <mergeCell ref="R46:S46"/>
    <mergeCell ref="V46:W46"/>
    <mergeCell ref="V45:W45"/>
    <mergeCell ref="V44:W44"/>
    <mergeCell ref="L44:M44"/>
    <mergeCell ref="R44:S44"/>
    <mergeCell ref="T44:U44"/>
    <mergeCell ref="D50:E50"/>
    <mergeCell ref="F41:G41"/>
    <mergeCell ref="A5:A6"/>
    <mergeCell ref="P49:Q49"/>
    <mergeCell ref="P50:Q50"/>
    <mergeCell ref="P45:Q45"/>
    <mergeCell ref="P42:Q42"/>
    <mergeCell ref="A39:A40"/>
    <mergeCell ref="B42:C42"/>
    <mergeCell ref="H47:I47"/>
    <mergeCell ref="H46:I46"/>
    <mergeCell ref="H45:I45"/>
    <mergeCell ref="H44:I44"/>
    <mergeCell ref="H43:I43"/>
    <mergeCell ref="H42:I42"/>
    <mergeCell ref="H41:I41"/>
    <mergeCell ref="H40:I40"/>
    <mergeCell ref="F45:G45"/>
    <mergeCell ref="F44:G44"/>
    <mergeCell ref="F43:G43"/>
    <mergeCell ref="B50:C50"/>
    <mergeCell ref="F47:G47"/>
    <mergeCell ref="F46:G46"/>
    <mergeCell ref="B49:C49"/>
    <mergeCell ref="B41:C41"/>
    <mergeCell ref="D39:I39"/>
    <mergeCell ref="F42:G42"/>
    <mergeCell ref="X42:Y42"/>
    <mergeCell ref="Z40:AA40"/>
    <mergeCell ref="AL39:AO39"/>
    <mergeCell ref="AL41:AM41"/>
    <mergeCell ref="AL40:AM40"/>
    <mergeCell ref="AN41:AO41"/>
    <mergeCell ref="AN40:AO40"/>
    <mergeCell ref="AD41:AE41"/>
    <mergeCell ref="AD39:AG39"/>
    <mergeCell ref="AH39:AK39"/>
    <mergeCell ref="AH41:AI41"/>
    <mergeCell ref="AJ41:AK41"/>
    <mergeCell ref="N41:O41"/>
    <mergeCell ref="AL42:AM42"/>
    <mergeCell ref="X41:Y41"/>
    <mergeCell ref="X40:Y40"/>
    <mergeCell ref="AN42:AO42"/>
    <mergeCell ref="AD42:AE42"/>
    <mergeCell ref="J39:O39"/>
    <mergeCell ref="L41:M41"/>
    <mergeCell ref="L40:M40"/>
    <mergeCell ref="F40:G40"/>
    <mergeCell ref="AV45:AW45"/>
    <mergeCell ref="AV44:AW44"/>
    <mergeCell ref="AT44:AU44"/>
    <mergeCell ref="AT43:AU43"/>
    <mergeCell ref="AV43:AW43"/>
    <mergeCell ref="AL47:AM47"/>
    <mergeCell ref="AL43:AM43"/>
    <mergeCell ref="AP45:AQ45"/>
    <mergeCell ref="AP46:AQ46"/>
    <mergeCell ref="AP44:AQ44"/>
    <mergeCell ref="AP47:AQ47"/>
    <mergeCell ref="AR43:AS43"/>
    <mergeCell ref="A55:N55"/>
    <mergeCell ref="A54:N54"/>
    <mergeCell ref="A56:N56"/>
    <mergeCell ref="A58:N58"/>
    <mergeCell ref="O58:S58"/>
    <mergeCell ref="T58:W58"/>
    <mergeCell ref="X58:AL58"/>
    <mergeCell ref="AM58:AO58"/>
    <mergeCell ref="A59:N59"/>
    <mergeCell ref="O59:S59"/>
    <mergeCell ref="T59:W60"/>
    <mergeCell ref="X59:AL59"/>
    <mergeCell ref="AM59:AO59"/>
    <mergeCell ref="O56:S56"/>
    <mergeCell ref="O55:S55"/>
    <mergeCell ref="O54:S54"/>
    <mergeCell ref="T54:W54"/>
    <mergeCell ref="T55:W56"/>
    <mergeCell ref="AM54:AO54"/>
    <mergeCell ref="AM55:AO55"/>
    <mergeCell ref="X55:AL55"/>
    <mergeCell ref="X54:AL54"/>
    <mergeCell ref="X56:AL56"/>
    <mergeCell ref="AM56:AO56"/>
    <mergeCell ref="A60:N60"/>
    <mergeCell ref="O60:S60"/>
    <mergeCell ref="X60:AL60"/>
    <mergeCell ref="AM60:AO60"/>
    <mergeCell ref="A62:N62"/>
    <mergeCell ref="O62:S62"/>
    <mergeCell ref="T62:W62"/>
    <mergeCell ref="X62:AL62"/>
    <mergeCell ref="AM62:AO62"/>
    <mergeCell ref="A63:N63"/>
    <mergeCell ref="O63:S63"/>
    <mergeCell ref="T63:W64"/>
    <mergeCell ref="X63:AL63"/>
    <mergeCell ref="AM63:AO63"/>
    <mergeCell ref="A64:N64"/>
    <mergeCell ref="O64:S64"/>
    <mergeCell ref="X64:AL64"/>
    <mergeCell ref="AM64:AO64"/>
    <mergeCell ref="A66:N66"/>
    <mergeCell ref="O66:S66"/>
    <mergeCell ref="T66:W66"/>
    <mergeCell ref="X66:AL66"/>
    <mergeCell ref="AM66:AO66"/>
    <mergeCell ref="A67:N67"/>
    <mergeCell ref="O67:S67"/>
    <mergeCell ref="T67:W68"/>
    <mergeCell ref="X67:AL67"/>
    <mergeCell ref="AM67:AO67"/>
    <mergeCell ref="A68:N68"/>
    <mergeCell ref="O68:S68"/>
    <mergeCell ref="X68:AL68"/>
    <mergeCell ref="AM68:AO68"/>
    <mergeCell ref="A70:N70"/>
    <mergeCell ref="O70:S70"/>
    <mergeCell ref="T70:W70"/>
    <mergeCell ref="X70:AL70"/>
    <mergeCell ref="AM70:AO70"/>
    <mergeCell ref="A71:N71"/>
    <mergeCell ref="O71:S71"/>
    <mergeCell ref="T71:W72"/>
    <mergeCell ref="X71:AL71"/>
    <mergeCell ref="AM71:AO71"/>
    <mergeCell ref="A72:N72"/>
    <mergeCell ref="O72:S72"/>
    <mergeCell ref="X72:AL72"/>
    <mergeCell ref="AM72:AO72"/>
    <mergeCell ref="A74:N74"/>
    <mergeCell ref="O74:S74"/>
    <mergeCell ref="T74:W74"/>
    <mergeCell ref="X74:AL74"/>
    <mergeCell ref="AM74:AO74"/>
    <mergeCell ref="A75:N75"/>
    <mergeCell ref="O75:S75"/>
    <mergeCell ref="T75:W76"/>
    <mergeCell ref="X75:AL75"/>
    <mergeCell ref="AM75:AO75"/>
    <mergeCell ref="A76:N76"/>
    <mergeCell ref="O76:S76"/>
    <mergeCell ref="X76:AL76"/>
    <mergeCell ref="AM76:AO76"/>
    <mergeCell ref="A78:N78"/>
    <mergeCell ref="O78:S78"/>
    <mergeCell ref="T78:W78"/>
    <mergeCell ref="X78:AL78"/>
    <mergeCell ref="AM78:AO78"/>
    <mergeCell ref="A79:N79"/>
    <mergeCell ref="O79:S79"/>
    <mergeCell ref="T79:W80"/>
    <mergeCell ref="X79:AL79"/>
    <mergeCell ref="AM79:AO79"/>
    <mergeCell ref="A80:N80"/>
    <mergeCell ref="O80:S80"/>
    <mergeCell ref="X80:AL80"/>
    <mergeCell ref="AM80:AO80"/>
    <mergeCell ref="A88:N88"/>
    <mergeCell ref="O88:S88"/>
    <mergeCell ref="X88:AL88"/>
    <mergeCell ref="AM88:AO88"/>
    <mergeCell ref="A83:N83"/>
    <mergeCell ref="O83:S83"/>
    <mergeCell ref="T83:W84"/>
    <mergeCell ref="X83:AL83"/>
    <mergeCell ref="AM83:AO83"/>
    <mergeCell ref="A84:N84"/>
    <mergeCell ref="O84:S84"/>
    <mergeCell ref="X84:AL84"/>
    <mergeCell ref="AM84:AO84"/>
    <mergeCell ref="A91:N91"/>
    <mergeCell ref="O91:S91"/>
    <mergeCell ref="T91:W92"/>
    <mergeCell ref="X91:AL91"/>
    <mergeCell ref="AM91:AO91"/>
    <mergeCell ref="A92:N92"/>
    <mergeCell ref="O92:S92"/>
    <mergeCell ref="X92:AL92"/>
    <mergeCell ref="AM92:AO92"/>
    <mergeCell ref="BF52:BH52"/>
    <mergeCell ref="AQ53:AR53"/>
    <mergeCell ref="Z53:AA53"/>
    <mergeCell ref="A52:AO52"/>
    <mergeCell ref="A90:N90"/>
    <mergeCell ref="O90:S90"/>
    <mergeCell ref="T90:W90"/>
    <mergeCell ref="X90:AL90"/>
    <mergeCell ref="AM90:AO90"/>
    <mergeCell ref="A86:N86"/>
    <mergeCell ref="O86:S86"/>
    <mergeCell ref="T86:W86"/>
    <mergeCell ref="X86:AL86"/>
    <mergeCell ref="AM86:AO86"/>
    <mergeCell ref="A87:N87"/>
    <mergeCell ref="O87:S87"/>
    <mergeCell ref="T87:W88"/>
    <mergeCell ref="X87:AL87"/>
    <mergeCell ref="A82:N82"/>
    <mergeCell ref="O82:S82"/>
    <mergeCell ref="T82:W82"/>
    <mergeCell ref="X82:AL82"/>
    <mergeCell ref="AM82:AO82"/>
    <mergeCell ref="AM87:AO87"/>
  </mergeCells>
  <phoneticPr fontId="17" type="noConversion"/>
  <printOptions horizontalCentered="1"/>
  <pageMargins left="0.196850393700787" right="0.196850393700787" top="0.23622047244094499" bottom="0.118110236220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AC187"/>
  <sheetViews>
    <sheetView topLeftCell="K1" zoomScale="115" zoomScaleNormal="115" zoomScaleSheetLayoutView="100" workbookViewId="0">
      <pane xSplit="3" ySplit="3" topLeftCell="N100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R93" sqref="R93"/>
    </sheetView>
  </sheetViews>
  <sheetFormatPr defaultRowHeight="15.75" x14ac:dyDescent="0.25"/>
  <cols>
    <col min="1" max="1" width="2.625" hidden="1" customWidth="1"/>
    <col min="2" max="2" width="2.625" style="6" hidden="1" customWidth="1"/>
    <col min="3" max="3" width="2.625" style="7" hidden="1" customWidth="1"/>
    <col min="4" max="4" width="2.625" hidden="1" customWidth="1"/>
    <col min="5" max="5" width="2.625" style="7" hidden="1" customWidth="1"/>
    <col min="6" max="6" width="2.625" hidden="1" customWidth="1"/>
    <col min="7" max="7" width="2.625" style="7" hidden="1" customWidth="1"/>
    <col min="8" max="8" width="2.625" hidden="1" customWidth="1"/>
    <col min="9" max="9" width="2.625" style="7" hidden="1" customWidth="1"/>
    <col min="10" max="10" width="2.625" bestFit="1" customWidth="1"/>
    <col min="11" max="11" width="6.125" style="4" customWidth="1"/>
    <col min="12" max="12" width="5.375" style="4" customWidth="1"/>
    <col min="13" max="13" width="7.875" style="5" customWidth="1"/>
    <col min="14" max="18" width="4.875" style="42" customWidth="1"/>
    <col min="19" max="22" width="4.875" style="4" customWidth="1"/>
    <col min="23" max="23" width="5.625" style="4" bestFit="1" customWidth="1"/>
    <col min="24" max="27" width="4.625" style="4" customWidth="1"/>
    <col min="28" max="28" width="8.125" style="10" customWidth="1"/>
  </cols>
  <sheetData>
    <row r="1" spans="1:28" ht="18.75" customHeight="1" x14ac:dyDescent="0.25">
      <c r="K1" s="723" t="s">
        <v>336</v>
      </c>
      <c r="L1" s="723"/>
      <c r="M1" s="723"/>
      <c r="N1" s="723"/>
      <c r="O1" s="723"/>
      <c r="P1" s="725" t="s">
        <v>39</v>
      </c>
      <c r="Q1" s="725"/>
      <c r="R1" s="725"/>
      <c r="S1" s="725"/>
      <c r="T1" s="725"/>
      <c r="U1" s="725"/>
      <c r="V1" s="725"/>
      <c r="W1" s="75" t="s">
        <v>175</v>
      </c>
      <c r="X1" s="76">
        <v>1</v>
      </c>
      <c r="Y1" s="77" t="s">
        <v>176</v>
      </c>
      <c r="Z1" s="719" t="s">
        <v>503</v>
      </c>
      <c r="AA1" s="719"/>
      <c r="AB1" s="64"/>
    </row>
    <row r="2" spans="1:28" s="4" customFormat="1" ht="22.5" customHeight="1" thickBot="1" x14ac:dyDescent="0.25">
      <c r="B2" s="35"/>
      <c r="C2" s="36"/>
      <c r="E2" s="36"/>
      <c r="G2" s="36"/>
      <c r="I2" s="36"/>
      <c r="K2" s="724"/>
      <c r="L2" s="724"/>
      <c r="M2" s="724"/>
      <c r="N2" s="724"/>
      <c r="O2" s="724"/>
      <c r="P2" s="122"/>
      <c r="Q2" s="717" t="s">
        <v>221</v>
      </c>
      <c r="R2" s="717"/>
      <c r="S2" s="78" t="s">
        <v>501</v>
      </c>
      <c r="T2" s="717" t="s">
        <v>193</v>
      </c>
      <c r="U2" s="717"/>
      <c r="V2" s="718" t="s">
        <v>502</v>
      </c>
      <c r="W2" s="718"/>
      <c r="X2" s="79"/>
      <c r="Y2" s="80"/>
      <c r="Z2" s="81"/>
      <c r="AA2" s="82"/>
      <c r="AB2" s="83"/>
    </row>
    <row r="3" spans="1:28" s="37" customFormat="1" ht="12" thickTop="1" x14ac:dyDescent="0.2">
      <c r="A3" s="720"/>
      <c r="B3" s="721"/>
      <c r="C3" s="721"/>
      <c r="D3" s="721"/>
      <c r="E3" s="721"/>
      <c r="F3" s="721"/>
      <c r="G3" s="721"/>
      <c r="H3" s="721"/>
      <c r="I3" s="721"/>
      <c r="J3" s="721"/>
      <c r="K3" s="84" t="s">
        <v>40</v>
      </c>
      <c r="L3" s="85" t="s">
        <v>28</v>
      </c>
      <c r="M3" s="85" t="s">
        <v>3</v>
      </c>
      <c r="N3" s="722" t="s">
        <v>41</v>
      </c>
      <c r="O3" s="722"/>
      <c r="P3" s="722"/>
      <c r="Q3" s="722"/>
      <c r="R3" s="722"/>
      <c r="S3" s="722"/>
      <c r="T3" s="722"/>
      <c r="U3" s="722"/>
      <c r="V3" s="722"/>
      <c r="W3" s="722"/>
      <c r="X3" s="85" t="s">
        <v>42</v>
      </c>
      <c r="Y3" s="85" t="s">
        <v>192</v>
      </c>
      <c r="Z3" s="85" t="s">
        <v>43</v>
      </c>
      <c r="AA3" s="86" t="s">
        <v>191</v>
      </c>
      <c r="AB3" s="87" t="s">
        <v>177</v>
      </c>
    </row>
    <row r="4" spans="1:28" s="3" customFormat="1" ht="11.25" customHeight="1" x14ac:dyDescent="0.2">
      <c r="A4" s="111">
        <f>IF(N4=0,0,VLOOKUP(N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B4" s="111">
        <f>IF(O4=0,0,VLOOKUP(O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C4" s="111">
        <f>IF(P4=0,0,VLOOKUP(P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D4" s="111">
        <f>IF(Q4=0,0,VLOOKUP(Q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E4" s="111">
        <f>IF(R4=0,0,VLOOKUP(R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F4" s="111">
        <f>IF(S4=0,0,VLOOKUP(S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G4" s="111">
        <f>IF(T4=0,0,VLOOKUP(T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H4" s="111">
        <f>IF(U4=0,0,VLOOKUP(U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I4" s="111">
        <f>IF(V4=0,0,VLOOKUP(V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J4" s="111">
        <f>IF(W4=0,0,VLOOKUP(W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K4" s="713" t="s">
        <v>13</v>
      </c>
      <c r="L4" s="706" t="str">
        <f>IF(K4=0,0,VLOOKUP(K4,CBGV!$B$4:$M$68,12,0))</f>
        <v>11A4</v>
      </c>
      <c r="M4" s="54" t="s">
        <v>14</v>
      </c>
      <c r="N4" s="277" t="s">
        <v>31</v>
      </c>
      <c r="O4" s="278" t="s">
        <v>24</v>
      </c>
      <c r="P4" s="278" t="s">
        <v>124</v>
      </c>
      <c r="Q4" s="278"/>
      <c r="R4" s="279"/>
      <c r="S4" s="279"/>
      <c r="T4" s="279"/>
      <c r="U4" s="280"/>
      <c r="V4" s="280"/>
      <c r="W4" s="281"/>
      <c r="X4" s="706">
        <f>IF(K4=0,0,VLOOKUP(K4,CBGV!$B$4:$P$68,14,0))+IF(L4=0,0,VLOOKUP(L4,'T-L-K'!$B$7:$BH$36,2,0))</f>
        <v>5</v>
      </c>
      <c r="Y4" s="716">
        <f>SUM(A4:J6)</f>
        <v>13</v>
      </c>
      <c r="Z4" s="716">
        <f>SUM(A4:J6)+X4</f>
        <v>18</v>
      </c>
      <c r="AA4" s="706">
        <f>IF((Z4-(VLOOKUP(K4,CBGV!$B$4:$P$68,13,0)))&lt;=-14,"/",(Z4-(VLOOKUP(K4,CBGV!$B$4:$P$68,13,0))))</f>
        <v>1</v>
      </c>
      <c r="AB4" s="88" t="s">
        <v>44</v>
      </c>
    </row>
    <row r="5" spans="1:28" s="3" customFormat="1" ht="11.25" customHeight="1" x14ac:dyDescent="0.2">
      <c r="A5" s="111">
        <f>IF(N5=0,0,VLOOKUP(N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B5" s="111">
        <f>IF(O5=0,0,VLOOKUP(O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C5" s="111">
        <f>IF(P5=0,0,VLOOKUP(P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D5" s="111">
        <f>IF(Q5=0,0,VLOOKUP(Q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E5" s="111">
        <f>IF(R5=0,0,VLOOKUP(R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F5" s="111">
        <f>IF(S5=0,0,VLOOKUP(S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G5" s="111">
        <f>IF(T5=0,0,VLOOKUP(T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H5" s="111">
        <f>IF(U5=0,0,VLOOKUP(U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I5" s="111">
        <f>IF(V5=0,0,VLOOKUP(V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J5" s="111">
        <f>IF(W5=0,0,VLOOKUP(W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K5" s="714"/>
      <c r="L5" s="707"/>
      <c r="M5" s="55" t="s">
        <v>14</v>
      </c>
      <c r="N5" s="282"/>
      <c r="O5" s="283"/>
      <c r="P5" s="283"/>
      <c r="Q5" s="283"/>
      <c r="R5" s="284"/>
      <c r="S5" s="284"/>
      <c r="T5" s="284"/>
      <c r="U5" s="285"/>
      <c r="V5" s="285"/>
      <c r="W5" s="286"/>
      <c r="X5" s="707"/>
      <c r="Y5" s="707"/>
      <c r="Z5" s="707"/>
      <c r="AA5" s="707"/>
      <c r="AB5" s="88" t="s">
        <v>44</v>
      </c>
    </row>
    <row r="6" spans="1:28" s="3" customFormat="1" ht="11.25" customHeight="1" x14ac:dyDescent="0.2">
      <c r="A6" s="111">
        <f>IF(N6=0,0,VLOOKUP(N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1</v>
      </c>
      <c r="B6" s="111">
        <f>IF(O6=0,0,VLOOKUP(O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C6" s="111">
        <f>IF(P6=0,0,VLOOKUP(P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D6" s="111">
        <f>IF(Q6=0,0,VLOOKUP(Q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E6" s="111">
        <f>IF(R6=0,0,VLOOKUP(R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F6" s="111">
        <f>IF(S6=0,0,VLOOKUP(S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G6" s="111">
        <f>IF(T6=0,0,VLOOKUP(T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H6" s="111">
        <f>IF(U6=0,0,VLOOKUP(U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I6" s="111">
        <f>IF(V6=0,0,VLOOKUP(V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J6" s="111">
        <f>IF(W6=0,0,VLOOKUP(W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K6" s="715"/>
      <c r="L6" s="708"/>
      <c r="M6" s="56" t="s">
        <v>309</v>
      </c>
      <c r="N6" s="287" t="s">
        <v>124</v>
      </c>
      <c r="O6" s="288"/>
      <c r="P6" s="288"/>
      <c r="Q6" s="288"/>
      <c r="R6" s="289"/>
      <c r="S6" s="289"/>
      <c r="T6" s="289"/>
      <c r="U6" s="290"/>
      <c r="V6" s="290"/>
      <c r="W6" s="291"/>
      <c r="X6" s="708"/>
      <c r="Y6" s="708"/>
      <c r="Z6" s="708"/>
      <c r="AA6" s="708"/>
      <c r="AB6" s="88" t="s">
        <v>44</v>
      </c>
    </row>
    <row r="7" spans="1:28" s="3" customFormat="1" ht="11.25" customHeight="1" x14ac:dyDescent="0.2">
      <c r="A7" s="111">
        <f>IF(N7=0,0,VLOOKUP(N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B7" s="111">
        <f>IF(O7=0,0,VLOOKUP(O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C7" s="111">
        <f>IF(P7=0,0,VLOOKUP(P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D7" s="111">
        <f>IF(Q7=0,0,VLOOKUP(Q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E7" s="111">
        <f>IF(R7=0,0,VLOOKUP(R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F7" s="111">
        <f>IF(S7=0,0,VLOOKUP(S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G7" s="111">
        <f>IF(T7=0,0,VLOOKUP(T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H7" s="111">
        <f>IF(U7=0,0,VLOOKUP(U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I7" s="111">
        <f>IF(V7=0,0,VLOOKUP(V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J7" s="111">
        <f>IF(W7=0,0,VLOOKUP(W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K7" s="703" t="s">
        <v>45</v>
      </c>
      <c r="L7" s="706" t="str">
        <f>IF(K7=0,0,VLOOKUP(K7,CBGV!$B$4:$M$68,12,0))</f>
        <v>12A4</v>
      </c>
      <c r="M7" s="57" t="s">
        <v>14</v>
      </c>
      <c r="N7" s="277" t="s">
        <v>140</v>
      </c>
      <c r="O7" s="278" t="s">
        <v>213</v>
      </c>
      <c r="P7" s="278"/>
      <c r="Q7" s="278"/>
      <c r="R7" s="279"/>
      <c r="S7" s="279"/>
      <c r="T7" s="279"/>
      <c r="U7" s="280"/>
      <c r="V7" s="280"/>
      <c r="W7" s="281"/>
      <c r="X7" s="709">
        <f>IF(K7=0,0,VLOOKUP(K7,CBGV!$B$4:$P$68,14,0))+IF(L7=0,0,VLOOKUP(L7,'T-L-K'!$B$7:$BH$36,2,0))</f>
        <v>8</v>
      </c>
      <c r="Y7" s="712">
        <f>SUM(A7:J9)</f>
        <v>9</v>
      </c>
      <c r="Z7" s="712">
        <f>SUM(A7:J9)+X7</f>
        <v>17</v>
      </c>
      <c r="AA7" s="709">
        <f>IF((Z7-(VLOOKUP(K7,CBGV!$B$4:$P$68,13,0)))&lt;=-14,"/",(Z7-(VLOOKUP(K7,CBGV!$B$4:$P$68,13,0))))</f>
        <v>0</v>
      </c>
      <c r="AB7" s="88" t="s">
        <v>44</v>
      </c>
    </row>
    <row r="8" spans="1:28" s="3" customFormat="1" ht="11.25" customHeight="1" x14ac:dyDescent="0.2">
      <c r="A8" s="111">
        <f>IF(N8=0,0,VLOOKUP(N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B8" s="111">
        <f>IF(O8=0,0,VLOOKUP(O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C8" s="111">
        <f>IF(P8=0,0,VLOOKUP(P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D8" s="111">
        <f>IF(Q8=0,0,VLOOKUP(Q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E8" s="111">
        <f>IF(R8=0,0,VLOOKUP(R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F8" s="111">
        <f>IF(S8=0,0,VLOOKUP(S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G8" s="111">
        <f>IF(T8=0,0,VLOOKUP(T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H8" s="111">
        <f>IF(U8=0,0,VLOOKUP(U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I8" s="111">
        <f>IF(V8=0,0,VLOOKUP(V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J8" s="111">
        <f>IF(W8=0,0,VLOOKUP(W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K8" s="704"/>
      <c r="L8" s="707"/>
      <c r="M8" s="51" t="s">
        <v>14</v>
      </c>
      <c r="N8" s="282"/>
      <c r="O8" s="283"/>
      <c r="P8" s="283"/>
      <c r="Q8" s="283"/>
      <c r="R8" s="284"/>
      <c r="S8" s="284"/>
      <c r="T8" s="284"/>
      <c r="U8" s="285"/>
      <c r="V8" s="285"/>
      <c r="W8" s="286"/>
      <c r="X8" s="710"/>
      <c r="Y8" s="710"/>
      <c r="Z8" s="710"/>
      <c r="AA8" s="710"/>
      <c r="AB8" s="88" t="s">
        <v>44</v>
      </c>
    </row>
    <row r="9" spans="1:28" s="3" customFormat="1" ht="11.25" customHeight="1" x14ac:dyDescent="0.2">
      <c r="A9" s="111">
        <f>IF(N9=0,0,VLOOKUP(N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1</v>
      </c>
      <c r="B9" s="111">
        <f>IF(O9=0,0,VLOOKUP(O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C9" s="111">
        <f>IF(P9=0,0,VLOOKUP(P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D9" s="111">
        <f>IF(Q9=0,0,VLOOKUP(Q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E9" s="111">
        <f>IF(R9=0,0,VLOOKUP(R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F9" s="111">
        <f>IF(S9=0,0,VLOOKUP(S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G9" s="111">
        <f>IF(T9=0,0,VLOOKUP(T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H9" s="111">
        <f>IF(U9=0,0,VLOOKUP(U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I9" s="111">
        <f>IF(V9=0,0,VLOOKUP(V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J9" s="111">
        <f>IF(W9=0,0,VLOOKUP(W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K9" s="705"/>
      <c r="L9" s="708"/>
      <c r="M9" s="52" t="s">
        <v>309</v>
      </c>
      <c r="N9" s="287" t="s">
        <v>140</v>
      </c>
      <c r="O9" s="288"/>
      <c r="P9" s="288"/>
      <c r="Q9" s="288"/>
      <c r="R9" s="289"/>
      <c r="S9" s="289"/>
      <c r="T9" s="289"/>
      <c r="U9" s="290"/>
      <c r="V9" s="290"/>
      <c r="W9" s="291"/>
      <c r="X9" s="711"/>
      <c r="Y9" s="711"/>
      <c r="Z9" s="711"/>
      <c r="AA9" s="711"/>
      <c r="AB9" s="88" t="s">
        <v>44</v>
      </c>
    </row>
    <row r="10" spans="1:28" s="3" customFormat="1" ht="11.25" customHeight="1" x14ac:dyDescent="0.2">
      <c r="A10" s="111">
        <f>IF(N10=0,0,VLOOKUP(N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B10" s="111">
        <f>IF(O10=0,0,VLOOKUP(O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C10" s="111">
        <f>IF(P10=0,0,VLOOKUP(P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D10" s="111">
        <f>IF(Q10=0,0,VLOOKUP(Q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E10" s="111">
        <f>IF(R10=0,0,VLOOKUP(R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F10" s="111">
        <f>IF(S10=0,0,VLOOKUP(S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G10" s="111">
        <f>IF(T10=0,0,VLOOKUP(T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H10" s="111">
        <f>IF(U10=0,0,VLOOKUP(U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I10" s="111">
        <f>IF(V10=0,0,VLOOKUP(V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J10" s="111">
        <f>IF(W10=0,0,VLOOKUP(W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K10" s="713" t="s">
        <v>46</v>
      </c>
      <c r="L10" s="706">
        <f>IF(K10=0,0,VLOOKUP(K10,CBGV!$B$4:$M$68,12,0))</f>
        <v>0</v>
      </c>
      <c r="M10" s="54" t="s">
        <v>14</v>
      </c>
      <c r="N10" s="277" t="s">
        <v>173</v>
      </c>
      <c r="O10" s="278" t="s">
        <v>478</v>
      </c>
      <c r="P10" s="278" t="s">
        <v>203</v>
      </c>
      <c r="Q10" s="278"/>
      <c r="R10" s="279"/>
      <c r="S10" s="279"/>
      <c r="T10" s="279"/>
      <c r="U10" s="280"/>
      <c r="V10" s="280"/>
      <c r="W10" s="281"/>
      <c r="X10" s="706">
        <f>IF(K10=0,0,VLOOKUP(K10,CBGV!$B$4:$P$68,14,0))+IF(L10=0,0,VLOOKUP(L10,'T-L-K'!$B$7:$BH$36,2,0))</f>
        <v>4</v>
      </c>
      <c r="Y10" s="716">
        <f>SUM(A10:J12)</f>
        <v>12</v>
      </c>
      <c r="Z10" s="716">
        <f>SUM(A10:J12)+X10</f>
        <v>16</v>
      </c>
      <c r="AA10" s="706">
        <f>IF((Z10-(VLOOKUP(K10,CBGV!$B$4:$P$68,13,0)))&lt;=-14,"/",(Z10-(VLOOKUP(K10,CBGV!$B$4:$P$68,13,0))))</f>
        <v>-1</v>
      </c>
      <c r="AB10" s="88" t="s">
        <v>44</v>
      </c>
    </row>
    <row r="11" spans="1:28" s="3" customFormat="1" ht="11.25" customHeight="1" x14ac:dyDescent="0.2">
      <c r="A11" s="111">
        <f>IF(N11=0,0,VLOOKUP(N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B11" s="111">
        <f>IF(O11=0,0,VLOOKUP(O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C11" s="111">
        <f>IF(P11=0,0,VLOOKUP(P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D11" s="111">
        <f>IF(Q11=0,0,VLOOKUP(Q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E11" s="111">
        <f>IF(R11=0,0,VLOOKUP(R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F11" s="111">
        <f>IF(S11=0,0,VLOOKUP(S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G11" s="111">
        <f>IF(T11=0,0,VLOOKUP(T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H11" s="111">
        <f>IF(U11=0,0,VLOOKUP(U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I11" s="111">
        <f>IF(V11=0,0,VLOOKUP(V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J11" s="111">
        <f>IF(W11=0,0,VLOOKUP(W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K11" s="714"/>
      <c r="L11" s="707"/>
      <c r="M11" s="55" t="s">
        <v>14</v>
      </c>
      <c r="N11" s="282"/>
      <c r="O11" s="283"/>
      <c r="P11" s="283"/>
      <c r="Q11" s="283"/>
      <c r="R11" s="284"/>
      <c r="S11" s="284"/>
      <c r="T11" s="284"/>
      <c r="U11" s="285"/>
      <c r="V11" s="285"/>
      <c r="W11" s="286"/>
      <c r="X11" s="707"/>
      <c r="Y11" s="707"/>
      <c r="Z11" s="707"/>
      <c r="AA11" s="707"/>
      <c r="AB11" s="88" t="s">
        <v>44</v>
      </c>
    </row>
    <row r="12" spans="1:28" s="3" customFormat="1" ht="11.25" customHeight="1" x14ac:dyDescent="0.2">
      <c r="A12" s="111">
        <f>IF(N12=0,0,VLOOKUP(N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B12" s="111">
        <f>IF(O12=0,0,VLOOKUP(O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C12" s="111">
        <f>IF(P12=0,0,VLOOKUP(P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D12" s="111">
        <f>IF(Q12=0,0,VLOOKUP(Q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E12" s="111">
        <f>IF(R12=0,0,VLOOKUP(R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F12" s="111">
        <f>IF(S12=0,0,VLOOKUP(S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G12" s="111">
        <f>IF(T12=0,0,VLOOKUP(T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H12" s="111">
        <f>IF(U12=0,0,VLOOKUP(U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I12" s="111">
        <f>IF(V12=0,0,VLOOKUP(V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J12" s="111">
        <f>IF(W12=0,0,VLOOKUP(W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K12" s="715"/>
      <c r="L12" s="708"/>
      <c r="M12" s="56" t="s">
        <v>309</v>
      </c>
      <c r="N12" s="287"/>
      <c r="O12" s="288"/>
      <c r="P12" s="288"/>
      <c r="Q12" s="288"/>
      <c r="R12" s="289"/>
      <c r="S12" s="289"/>
      <c r="T12" s="289"/>
      <c r="U12" s="290"/>
      <c r="V12" s="290"/>
      <c r="W12" s="291"/>
      <c r="X12" s="708"/>
      <c r="Y12" s="708"/>
      <c r="Z12" s="708"/>
      <c r="AA12" s="708"/>
      <c r="AB12" s="88" t="s">
        <v>44</v>
      </c>
    </row>
    <row r="13" spans="1:28" s="3" customFormat="1" ht="11.25" customHeight="1" x14ac:dyDescent="0.2">
      <c r="A13" s="111">
        <f>IF(N13=0,0,VLOOKUP(N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B13" s="111">
        <f>IF(O13=0,0,VLOOKUP(O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C13" s="111">
        <f>IF(P13=0,0,VLOOKUP(P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D13" s="111">
        <f>IF(Q13=0,0,VLOOKUP(Q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E13" s="111">
        <f>IF(R13=0,0,VLOOKUP(R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F13" s="111">
        <f>IF(S13=0,0,VLOOKUP(S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G13" s="111">
        <f>IF(T13=0,0,VLOOKUP(T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H13" s="111">
        <f>IF(U13=0,0,VLOOKUP(U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I13" s="111">
        <f>IF(V13=0,0,VLOOKUP(V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J13" s="111">
        <f>IF(W13=0,0,VLOOKUP(W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K13" s="703" t="s">
        <v>47</v>
      </c>
      <c r="L13" s="706" t="str">
        <f>IF(K13=0,0,VLOOKUP(K13,CBGV!$B$4:$M$68,12,0))</f>
        <v>12A2</v>
      </c>
      <c r="M13" s="57" t="s">
        <v>14</v>
      </c>
      <c r="N13" s="277" t="s">
        <v>30</v>
      </c>
      <c r="O13" s="278" t="s">
        <v>214</v>
      </c>
      <c r="P13" s="278" t="s">
        <v>142</v>
      </c>
      <c r="Q13" s="278"/>
      <c r="R13" s="279"/>
      <c r="S13" s="279"/>
      <c r="T13" s="279"/>
      <c r="U13" s="280"/>
      <c r="V13" s="280"/>
      <c r="W13" s="281"/>
      <c r="X13" s="709">
        <f>IF(K13=0,0,VLOOKUP(K13,CBGV!$B$4:$P$68,14,0))+IF(L13=0,0,VLOOKUP(L13,'T-L-K'!$B$7:$BH$36,2,0))</f>
        <v>5</v>
      </c>
      <c r="Y13" s="712">
        <f>SUM(A13:J15)</f>
        <v>13</v>
      </c>
      <c r="Z13" s="712">
        <f>SUM(A13:J15)+X13</f>
        <v>18</v>
      </c>
      <c r="AA13" s="709">
        <f>IF((Z13-(VLOOKUP(K13,CBGV!$B$4:$P$68,13,0)))&lt;=-14,"/",(Z13-(VLOOKUP(K13,CBGV!$B$4:$P$68,13,0))))</f>
        <v>1</v>
      </c>
      <c r="AB13" s="88" t="s">
        <v>44</v>
      </c>
    </row>
    <row r="14" spans="1:28" s="3" customFormat="1" ht="11.25" customHeight="1" x14ac:dyDescent="0.2">
      <c r="A14" s="111">
        <f>IF(N14=0,0,VLOOKUP(N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B14" s="111">
        <f>IF(O14=0,0,VLOOKUP(O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C14" s="111">
        <f>IF(P14=0,0,VLOOKUP(P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D14" s="111">
        <f>IF(Q14=0,0,VLOOKUP(Q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E14" s="111">
        <f>IF(R14=0,0,VLOOKUP(R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F14" s="111">
        <f>IF(S14=0,0,VLOOKUP(S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G14" s="111">
        <f>IF(T14=0,0,VLOOKUP(T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H14" s="111">
        <f>IF(U14=0,0,VLOOKUP(U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I14" s="111">
        <f>IF(V14=0,0,VLOOKUP(V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J14" s="111">
        <f>IF(W14=0,0,VLOOKUP(W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K14" s="704"/>
      <c r="L14" s="707"/>
      <c r="M14" s="51" t="s">
        <v>14</v>
      </c>
      <c r="N14" s="282"/>
      <c r="O14" s="283"/>
      <c r="P14" s="283"/>
      <c r="Q14" s="283"/>
      <c r="R14" s="284"/>
      <c r="S14" s="284"/>
      <c r="T14" s="284"/>
      <c r="U14" s="285"/>
      <c r="V14" s="285"/>
      <c r="W14" s="286"/>
      <c r="X14" s="710"/>
      <c r="Y14" s="710"/>
      <c r="Z14" s="710"/>
      <c r="AA14" s="710"/>
      <c r="AB14" s="88" t="s">
        <v>44</v>
      </c>
    </row>
    <row r="15" spans="1:28" s="3" customFormat="1" ht="11.25" customHeight="1" x14ac:dyDescent="0.2">
      <c r="A15" s="111">
        <f>IF(N15=0,0,VLOOKUP(N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1</v>
      </c>
      <c r="B15" s="111">
        <f>IF(O15=0,0,VLOOKUP(O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C15" s="111">
        <f>IF(P15=0,0,VLOOKUP(P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D15" s="111">
        <f>IF(Q15=0,0,VLOOKUP(Q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E15" s="111">
        <f>IF(R15=0,0,VLOOKUP(R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F15" s="111">
        <f>IF(S15=0,0,VLOOKUP(S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G15" s="111">
        <f>IF(T15=0,0,VLOOKUP(T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H15" s="111">
        <f>IF(U15=0,0,VLOOKUP(U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I15" s="111">
        <f>IF(V15=0,0,VLOOKUP(V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J15" s="111">
        <f>IF(W15=0,0,VLOOKUP(W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K15" s="705"/>
      <c r="L15" s="708"/>
      <c r="M15" s="52" t="s">
        <v>309</v>
      </c>
      <c r="N15" s="287" t="s">
        <v>30</v>
      </c>
      <c r="O15" s="288"/>
      <c r="P15" s="288"/>
      <c r="Q15" s="288"/>
      <c r="R15" s="289"/>
      <c r="S15" s="289"/>
      <c r="T15" s="289"/>
      <c r="U15" s="290"/>
      <c r="V15" s="290"/>
      <c r="W15" s="291"/>
      <c r="X15" s="711"/>
      <c r="Y15" s="711"/>
      <c r="Z15" s="711"/>
      <c r="AA15" s="711"/>
      <c r="AB15" s="88" t="s">
        <v>44</v>
      </c>
    </row>
    <row r="16" spans="1:28" s="3" customFormat="1" ht="11.25" customHeight="1" x14ac:dyDescent="0.2">
      <c r="A16" s="111">
        <f>IF(N16=0,0,VLOOKUP(N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B16" s="111">
        <f>IF(O16=0,0,VLOOKUP(O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C16" s="111">
        <f>IF(P16=0,0,VLOOKUP(P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D16" s="111">
        <f>IF(Q16=0,0,VLOOKUP(Q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E16" s="111">
        <f>IF(R16=0,0,VLOOKUP(R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F16" s="111">
        <f>IF(S16=0,0,VLOOKUP(S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G16" s="111">
        <f>IF(T16=0,0,VLOOKUP(T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H16" s="111">
        <f>IF(U16=0,0,VLOOKUP(U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I16" s="111">
        <f>IF(V16=0,0,VLOOKUP(V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J16" s="111">
        <f>IF(W16=0,0,VLOOKUP(W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K16" s="713" t="s">
        <v>48</v>
      </c>
      <c r="L16" s="706">
        <f>IF(K16=0,0,VLOOKUP(K16,CBGV!$B$4:$M$68,12,0))</f>
        <v>0</v>
      </c>
      <c r="M16" s="54" t="s">
        <v>14</v>
      </c>
      <c r="N16" s="277" t="s">
        <v>196</v>
      </c>
      <c r="O16" s="278" t="s">
        <v>138</v>
      </c>
      <c r="P16" s="278" t="s">
        <v>202</v>
      </c>
      <c r="Q16" s="278"/>
      <c r="R16" s="279"/>
      <c r="S16" s="279"/>
      <c r="T16" s="279"/>
      <c r="U16" s="280"/>
      <c r="V16" s="280"/>
      <c r="W16" s="281"/>
      <c r="X16" s="706">
        <f>IF(K16=0,0,VLOOKUP(K16,CBGV!$B$4:$P$68,14,0))+IF(L16=0,0,VLOOKUP(L16,'T-L-K'!$B$7:$BH$36,2,0))</f>
        <v>0</v>
      </c>
      <c r="Y16" s="716">
        <f>SUM(A16:J18)</f>
        <v>16</v>
      </c>
      <c r="Z16" s="716">
        <f>SUM(A16:J18)+X16</f>
        <v>16</v>
      </c>
      <c r="AA16" s="706">
        <f>IF((Z16-(VLOOKUP(K16,CBGV!$B$4:$P$68,13,0)))&lt;=-14,"/",(Z16-(VLOOKUP(K16,CBGV!$B$4:$P$68,13,0))))</f>
        <v>-1</v>
      </c>
      <c r="AB16" s="88" t="s">
        <v>44</v>
      </c>
    </row>
    <row r="17" spans="1:28" s="3" customFormat="1" ht="11.25" customHeight="1" x14ac:dyDescent="0.2">
      <c r="A17" s="111">
        <f>IF(N17=0,0,VLOOKUP(N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B17" s="111">
        <f>IF(O17=0,0,VLOOKUP(O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C17" s="111">
        <f>IF(P17=0,0,VLOOKUP(P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D17" s="111">
        <f>IF(Q17=0,0,VLOOKUP(Q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E17" s="111">
        <f>IF(R17=0,0,VLOOKUP(R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F17" s="111">
        <f>IF(S17=0,0,VLOOKUP(S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G17" s="111">
        <f>IF(T17=0,0,VLOOKUP(T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H17" s="111">
        <f>IF(U17=0,0,VLOOKUP(U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I17" s="111">
        <f>IF(V17=0,0,VLOOKUP(V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J17" s="111">
        <f>IF(W17=0,0,VLOOKUP(W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K17" s="714"/>
      <c r="L17" s="707"/>
      <c r="M17" s="55" t="s">
        <v>22</v>
      </c>
      <c r="N17" s="282"/>
      <c r="O17" s="283" t="s">
        <v>142</v>
      </c>
      <c r="P17" s="283" t="s">
        <v>138</v>
      </c>
      <c r="Q17" s="283"/>
      <c r="R17" s="284"/>
      <c r="S17" s="284"/>
      <c r="T17" s="284"/>
      <c r="U17" s="285"/>
      <c r="V17" s="285"/>
      <c r="W17" s="286"/>
      <c r="X17" s="707"/>
      <c r="Y17" s="707"/>
      <c r="Z17" s="707"/>
      <c r="AA17" s="707"/>
      <c r="AB17" s="88" t="s">
        <v>44</v>
      </c>
    </row>
    <row r="18" spans="1:28" s="3" customFormat="1" ht="11.25" customHeight="1" x14ac:dyDescent="0.2">
      <c r="A18" s="111">
        <f>IF(N18=0,0,VLOOKUP(N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B18" s="111">
        <f>IF(O18=0,0,VLOOKUP(O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C18" s="111">
        <f>IF(P18=0,0,VLOOKUP(P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D18" s="111">
        <f>IF(Q18=0,0,VLOOKUP(Q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E18" s="111">
        <f>IF(R18=0,0,VLOOKUP(R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F18" s="111">
        <f>IF(S18=0,0,VLOOKUP(S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G18" s="111">
        <f>IF(T18=0,0,VLOOKUP(T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H18" s="111">
        <f>IF(U18=0,0,VLOOKUP(U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I18" s="111">
        <f>IF(V18=0,0,VLOOKUP(V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J18" s="111">
        <f>IF(W18=0,0,VLOOKUP(W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K18" s="715"/>
      <c r="L18" s="708"/>
      <c r="M18" s="56" t="s">
        <v>309</v>
      </c>
      <c r="N18" s="287"/>
      <c r="O18" s="288"/>
      <c r="P18" s="288"/>
      <c r="Q18" s="288"/>
      <c r="R18" s="289"/>
      <c r="S18" s="289"/>
      <c r="T18" s="289"/>
      <c r="U18" s="290"/>
      <c r="V18" s="290"/>
      <c r="W18" s="291"/>
      <c r="X18" s="708"/>
      <c r="Y18" s="708"/>
      <c r="Z18" s="708"/>
      <c r="AA18" s="708"/>
      <c r="AB18" s="88" t="s">
        <v>44</v>
      </c>
    </row>
    <row r="19" spans="1:28" s="3" customFormat="1" ht="11.25" customHeight="1" x14ac:dyDescent="0.2">
      <c r="A19" s="111">
        <f>IF(N19=0,0,VLOOKUP(N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B19" s="111">
        <f>IF(O19=0,0,VLOOKUP(O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C19" s="111">
        <f>IF(P19=0,0,VLOOKUP(P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D19" s="111">
        <f>IF(Q19=0,0,VLOOKUP(Q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E19" s="111">
        <f>IF(R19=0,0,VLOOKUP(R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F19" s="111">
        <f>IF(S19=0,0,VLOOKUP(S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G19" s="111">
        <f>IF(T19=0,0,VLOOKUP(T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H19" s="111">
        <f>IF(U19=0,0,VLOOKUP(U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I19" s="111">
        <f>IF(V19=0,0,VLOOKUP(V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J19" s="111">
        <f>IF(W19=0,0,VLOOKUP(W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K19" s="703" t="s">
        <v>49</v>
      </c>
      <c r="L19" s="706">
        <f>IF(K19=0,0,VLOOKUP(K19,CBGV!$B$4:$M$68,12,0))</f>
        <v>0</v>
      </c>
      <c r="M19" s="57" t="s">
        <v>14</v>
      </c>
      <c r="N19" s="277" t="s">
        <v>27</v>
      </c>
      <c r="O19" s="278" t="s">
        <v>215</v>
      </c>
      <c r="P19" s="278" t="s">
        <v>305</v>
      </c>
      <c r="Q19" s="278"/>
      <c r="R19" s="279"/>
      <c r="S19" s="279"/>
      <c r="T19" s="279"/>
      <c r="U19" s="280"/>
      <c r="V19" s="280"/>
      <c r="W19" s="281"/>
      <c r="X19" s="709">
        <f>IF(K19=0,0,VLOOKUP(K19,CBGV!$B$4:$P$68,14,0))+IF(L19=0,0,VLOOKUP(L19,'T-L-K'!$B$7:$BH$36,2,0))</f>
        <v>3</v>
      </c>
      <c r="Y19" s="712">
        <f>SUM(A19:J21)</f>
        <v>12</v>
      </c>
      <c r="Z19" s="712">
        <f>SUM(A19:J21)+X19</f>
        <v>15</v>
      </c>
      <c r="AA19" s="709">
        <f>IF((Z19-(VLOOKUP(K19,CBGV!$B$4:$P$68,13,0)))&lt;=-14,"/",(Z19-(VLOOKUP(K19,CBGV!$B$4:$P$68,13,0))))</f>
        <v>-2</v>
      </c>
      <c r="AB19" s="88" t="s">
        <v>44</v>
      </c>
    </row>
    <row r="20" spans="1:28" s="3" customFormat="1" ht="11.25" customHeight="1" x14ac:dyDescent="0.2">
      <c r="A20" s="111">
        <f>IF(N20=0,0,VLOOKUP(N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B20" s="111">
        <f>IF(O20=0,0,VLOOKUP(O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C20" s="111">
        <f>IF(P20=0,0,VLOOKUP(P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D20" s="111">
        <f>IF(Q20=0,0,VLOOKUP(Q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E20" s="111">
        <f>IF(R20=0,0,VLOOKUP(R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F20" s="111">
        <f>IF(S20=0,0,VLOOKUP(S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G20" s="111">
        <f>IF(T20=0,0,VLOOKUP(T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H20" s="111">
        <f>IF(U20=0,0,VLOOKUP(U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I20" s="111">
        <f>IF(V20=0,0,VLOOKUP(V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J20" s="111">
        <f>IF(W20=0,0,VLOOKUP(W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K20" s="704"/>
      <c r="L20" s="707"/>
      <c r="M20" s="51" t="s">
        <v>22</v>
      </c>
      <c r="N20" s="282"/>
      <c r="O20" s="283"/>
      <c r="P20" s="283" t="s">
        <v>305</v>
      </c>
      <c r="Q20" s="283"/>
      <c r="R20" s="284"/>
      <c r="S20" s="284"/>
      <c r="T20" s="284"/>
      <c r="U20" s="285"/>
      <c r="V20" s="285"/>
      <c r="W20" s="286"/>
      <c r="X20" s="710"/>
      <c r="Y20" s="710"/>
      <c r="Z20" s="710"/>
      <c r="AA20" s="710"/>
      <c r="AB20" s="88" t="s">
        <v>44</v>
      </c>
    </row>
    <row r="21" spans="1:28" s="3" customFormat="1" ht="11.25" customHeight="1" x14ac:dyDescent="0.2">
      <c r="A21" s="111">
        <f>IF(N21=0,0,VLOOKUP(N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B21" s="111">
        <f>IF(O21=0,0,VLOOKUP(O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C21" s="111">
        <f>IF(P21=0,0,VLOOKUP(P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D21" s="111">
        <f>IF(Q21=0,0,VLOOKUP(Q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E21" s="111">
        <f>IF(R21=0,0,VLOOKUP(R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F21" s="111">
        <f>IF(S21=0,0,VLOOKUP(S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G21" s="111">
        <f>IF(T21=0,0,VLOOKUP(T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H21" s="111">
        <f>IF(U21=0,0,VLOOKUP(U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I21" s="111">
        <f>IF(V21=0,0,VLOOKUP(V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J21" s="111">
        <f>IF(W21=0,0,VLOOKUP(W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K21" s="705"/>
      <c r="L21" s="708"/>
      <c r="M21" s="52" t="s">
        <v>309</v>
      </c>
      <c r="N21" s="287"/>
      <c r="O21" s="288"/>
      <c r="P21" s="288"/>
      <c r="Q21" s="288"/>
      <c r="R21" s="289"/>
      <c r="S21" s="289"/>
      <c r="T21" s="289"/>
      <c r="U21" s="290"/>
      <c r="V21" s="290"/>
      <c r="W21" s="291"/>
      <c r="X21" s="711"/>
      <c r="Y21" s="711"/>
      <c r="Z21" s="711"/>
      <c r="AA21" s="711"/>
      <c r="AB21" s="88" t="s">
        <v>44</v>
      </c>
    </row>
    <row r="22" spans="1:28" s="3" customFormat="1" ht="11.25" customHeight="1" x14ac:dyDescent="0.2">
      <c r="A22" s="111">
        <f>IF(N22=0,0,VLOOKUP(N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B22" s="111">
        <f>IF(O22=0,0,VLOOKUP(O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C22" s="111">
        <f>IF(P22=0,0,VLOOKUP(P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D22" s="111">
        <f>IF(Q22=0,0,VLOOKUP(Q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E22" s="111">
        <f>IF(R22=0,0,VLOOKUP(R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F22" s="111">
        <f>IF(S22=0,0,VLOOKUP(S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G22" s="111">
        <f>IF(T22=0,0,VLOOKUP(T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H22" s="111">
        <f>IF(U22=0,0,VLOOKUP(U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I22" s="111">
        <f>IF(V22=0,0,VLOOKUP(V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J22" s="111">
        <f>IF(W22=0,0,VLOOKUP(W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K22" s="713" t="s">
        <v>50</v>
      </c>
      <c r="L22" s="706" t="str">
        <f>IF(K22=0,0,VLOOKUP(K22,CBGV!$B$4:$M$68,12,0))</f>
        <v>10A7</v>
      </c>
      <c r="M22" s="54" t="s">
        <v>14</v>
      </c>
      <c r="N22" s="277"/>
      <c r="O22" s="278" t="s">
        <v>121</v>
      </c>
      <c r="P22" s="278" t="s">
        <v>197</v>
      </c>
      <c r="Q22" s="278"/>
      <c r="R22" s="279"/>
      <c r="S22" s="279"/>
      <c r="T22" s="279"/>
      <c r="U22" s="280"/>
      <c r="V22" s="280"/>
      <c r="W22" s="281"/>
      <c r="X22" s="706">
        <f>IF(K22=0,0,VLOOKUP(K22,CBGV!$B$4:$P$68,14,0))+IF(L22=0,0,VLOOKUP(L22,'T-L-K'!$B$7:$BH$36,2,0))</f>
        <v>5</v>
      </c>
      <c r="Y22" s="716">
        <f>SUM(A22:J24)</f>
        <v>12</v>
      </c>
      <c r="Z22" s="716">
        <f>SUM(A22:J24)+X22</f>
        <v>17</v>
      </c>
      <c r="AA22" s="706">
        <f>IF((Z22-(VLOOKUP(K22,CBGV!$B$4:$P$68,13,0)))&lt;=-14,"/",(Z22-(VLOOKUP(K22,CBGV!$B$4:$P$68,13,0))))</f>
        <v>0</v>
      </c>
      <c r="AB22" s="88" t="s">
        <v>44</v>
      </c>
    </row>
    <row r="23" spans="1:28" s="3" customFormat="1" ht="11.25" customHeight="1" x14ac:dyDescent="0.2">
      <c r="A23" s="111">
        <f>IF(N23=0,0,VLOOKUP(N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B23" s="111">
        <f>IF(O23=0,0,VLOOKUP(O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C23" s="111">
        <f>IF(P23=0,0,VLOOKUP(P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D23" s="111">
        <f>IF(Q23=0,0,VLOOKUP(Q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E23" s="111">
        <f>IF(R23=0,0,VLOOKUP(R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F23" s="111">
        <f>IF(S23=0,0,VLOOKUP(S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G23" s="111">
        <f>IF(T23=0,0,VLOOKUP(T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H23" s="111">
        <f>IF(U23=0,0,VLOOKUP(U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I23" s="111">
        <f>IF(V23=0,0,VLOOKUP(V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J23" s="111">
        <f>IF(W23=0,0,VLOOKUP(W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K23" s="714"/>
      <c r="L23" s="707"/>
      <c r="M23" s="55" t="s">
        <v>22</v>
      </c>
      <c r="N23" s="282"/>
      <c r="O23" s="283" t="s">
        <v>121</v>
      </c>
      <c r="P23" s="283" t="s">
        <v>197</v>
      </c>
      <c r="Q23" s="283"/>
      <c r="R23" s="284"/>
      <c r="S23" s="284"/>
      <c r="T23" s="284"/>
      <c r="U23" s="285"/>
      <c r="V23" s="285"/>
      <c r="W23" s="286"/>
      <c r="X23" s="707"/>
      <c r="Y23" s="707"/>
      <c r="Z23" s="707"/>
      <c r="AA23" s="707"/>
      <c r="AB23" s="88" t="s">
        <v>44</v>
      </c>
    </row>
    <row r="24" spans="1:28" s="3" customFormat="1" ht="11.25" customHeight="1" x14ac:dyDescent="0.2">
      <c r="A24" s="111">
        <f>IF(N24=0,0,VLOOKUP(N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B24" s="111">
        <f>IF(O24=0,0,VLOOKUP(O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C24" s="111">
        <f>IF(P24=0,0,VLOOKUP(P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D24" s="111">
        <f>IF(Q24=0,0,VLOOKUP(Q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E24" s="111">
        <f>IF(R24=0,0,VLOOKUP(R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F24" s="111">
        <f>IF(S24=0,0,VLOOKUP(S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G24" s="111">
        <f>IF(T24=0,0,VLOOKUP(T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H24" s="111">
        <f>IF(U24=0,0,VLOOKUP(U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I24" s="111">
        <f>IF(V24=0,0,VLOOKUP(V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J24" s="111">
        <f>IF(W24=0,0,VLOOKUP(W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K24" s="715"/>
      <c r="L24" s="708"/>
      <c r="M24" s="56" t="s">
        <v>309</v>
      </c>
      <c r="N24" s="287"/>
      <c r="O24" s="288"/>
      <c r="P24" s="288"/>
      <c r="Q24" s="288"/>
      <c r="R24" s="289"/>
      <c r="S24" s="289"/>
      <c r="T24" s="289"/>
      <c r="U24" s="290"/>
      <c r="V24" s="290"/>
      <c r="W24" s="291"/>
      <c r="X24" s="708"/>
      <c r="Y24" s="708"/>
      <c r="Z24" s="708"/>
      <c r="AA24" s="708"/>
      <c r="AB24" s="88" t="s">
        <v>44</v>
      </c>
    </row>
    <row r="25" spans="1:28" s="3" customFormat="1" ht="11.25" customHeight="1" x14ac:dyDescent="0.2">
      <c r="A25" s="111">
        <f>IF(N25=0,0,VLOOKUP(N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B25" s="111">
        <f>IF(O25=0,0,VLOOKUP(O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C25" s="111">
        <f>IF(P25=0,0,VLOOKUP(P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D25" s="111">
        <f>IF(Q25=0,0,VLOOKUP(Q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E25" s="111">
        <f>IF(R25=0,0,VLOOKUP(R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F25" s="111">
        <f>IF(S25=0,0,VLOOKUP(S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G25" s="111">
        <f>IF(T25=0,0,VLOOKUP(T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H25" s="111">
        <f>IF(U25=0,0,VLOOKUP(U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I25" s="111">
        <f>IF(V25=0,0,VLOOKUP(V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J25" s="111">
        <f>IF(W25=0,0,VLOOKUP(W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K25" s="703" t="s">
        <v>51</v>
      </c>
      <c r="L25" s="706" t="str">
        <f>IF(K25=0,0,VLOOKUP(K25,CBGV!$B$4:$M$68,12,0))</f>
        <v>10A8</v>
      </c>
      <c r="M25" s="57" t="s">
        <v>14</v>
      </c>
      <c r="N25" s="277" t="s">
        <v>201</v>
      </c>
      <c r="O25" s="278"/>
      <c r="P25" s="278" t="s">
        <v>198</v>
      </c>
      <c r="Q25" s="278"/>
      <c r="R25" s="279"/>
      <c r="S25" s="279"/>
      <c r="T25" s="279"/>
      <c r="U25" s="280"/>
      <c r="V25" s="280"/>
      <c r="W25" s="281"/>
      <c r="X25" s="709">
        <f>IF(K25=0,0,VLOOKUP(K25,CBGV!$B$4:$P$68,14,0))+IF(L25=0,0,VLOOKUP(L25,'T-L-K'!$B$7:$BH$36,2,0))</f>
        <v>6</v>
      </c>
      <c r="Y25" s="712">
        <f>SUM(A25:J27)</f>
        <v>11</v>
      </c>
      <c r="Z25" s="712">
        <f>SUM(A25:J27)+X25</f>
        <v>17</v>
      </c>
      <c r="AA25" s="709">
        <f>IF((Z25-(VLOOKUP(K25,CBGV!$B$4:$P$68,13,0)))&lt;=-14,"/",(Z25-(VLOOKUP(K25,CBGV!$B$4:$P$68,13,0))))</f>
        <v>0</v>
      </c>
      <c r="AB25" s="88" t="s">
        <v>44</v>
      </c>
    </row>
    <row r="26" spans="1:28" s="3" customFormat="1" ht="11.25" customHeight="1" x14ac:dyDescent="0.2">
      <c r="A26" s="111">
        <f>IF(N26=0,0,VLOOKUP(N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B26" s="111">
        <f>IF(O26=0,0,VLOOKUP(O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C26" s="111">
        <f>IF(P26=0,0,VLOOKUP(P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2</v>
      </c>
      <c r="D26" s="111">
        <f>IF(Q26=0,0,VLOOKUP(Q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E26" s="111">
        <f>IF(R26=0,0,VLOOKUP(R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F26" s="111">
        <f>IF(S26=0,0,VLOOKUP(S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G26" s="111">
        <f>IF(T26=0,0,VLOOKUP(T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H26" s="111">
        <f>IF(U26=0,0,VLOOKUP(U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I26" s="111">
        <f>IF(V26=0,0,VLOOKUP(V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J26" s="111">
        <f>IF(W26=0,0,VLOOKUP(W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K26" s="704"/>
      <c r="L26" s="707"/>
      <c r="M26" s="51" t="s">
        <v>22</v>
      </c>
      <c r="N26" s="282"/>
      <c r="O26" s="283"/>
      <c r="P26" s="283" t="s">
        <v>198</v>
      </c>
      <c r="Q26" s="283"/>
      <c r="R26" s="284"/>
      <c r="S26" s="284"/>
      <c r="T26" s="284"/>
      <c r="U26" s="285"/>
      <c r="V26" s="285"/>
      <c r="W26" s="286"/>
      <c r="X26" s="710"/>
      <c r="Y26" s="710"/>
      <c r="Z26" s="710"/>
      <c r="AA26" s="710"/>
      <c r="AB26" s="88" t="s">
        <v>44</v>
      </c>
    </row>
    <row r="27" spans="1:28" s="3" customFormat="1" ht="11.25" customHeight="1" x14ac:dyDescent="0.2">
      <c r="A27" s="111">
        <f>IF(N27=0,0,VLOOKUP(N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1</v>
      </c>
      <c r="B27" s="111">
        <f>IF(O27=0,0,VLOOKUP(O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C27" s="111">
        <f>IF(P27=0,0,VLOOKUP(P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D27" s="111">
        <f>IF(Q27=0,0,VLOOKUP(Q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E27" s="111">
        <f>IF(R27=0,0,VLOOKUP(R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F27" s="111">
        <f>IF(S27=0,0,VLOOKUP(S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G27" s="111">
        <f>IF(T27=0,0,VLOOKUP(T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H27" s="111">
        <f>IF(U27=0,0,VLOOKUP(U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I27" s="111">
        <f>IF(V27=0,0,VLOOKUP(V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J27" s="111">
        <f>IF(W27=0,0,VLOOKUP(W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K27" s="705"/>
      <c r="L27" s="708"/>
      <c r="M27" s="52" t="s">
        <v>309</v>
      </c>
      <c r="N27" s="287" t="s">
        <v>198</v>
      </c>
      <c r="O27" s="288"/>
      <c r="P27" s="288"/>
      <c r="Q27" s="288"/>
      <c r="R27" s="289"/>
      <c r="S27" s="289"/>
      <c r="T27" s="289"/>
      <c r="U27" s="290"/>
      <c r="V27" s="290"/>
      <c r="W27" s="291"/>
      <c r="X27" s="711"/>
      <c r="Y27" s="711"/>
      <c r="Z27" s="711"/>
      <c r="AA27" s="711"/>
      <c r="AB27" s="88" t="s">
        <v>44</v>
      </c>
    </row>
    <row r="28" spans="1:28" s="3" customFormat="1" ht="11.25" customHeight="1" x14ac:dyDescent="0.2">
      <c r="A28" s="111">
        <f>IF(N28=0,0,VLOOKUP(N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B28" s="111">
        <f>IF(O28=0,0,VLOOKUP(O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C28" s="111">
        <f>IF(P28=0,0,VLOOKUP(P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D28" s="111">
        <f>IF(Q28=0,0,VLOOKUP(Q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E28" s="111">
        <f>IF(R28=0,0,VLOOKUP(R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F28" s="111">
        <f>IF(S28=0,0,VLOOKUP(S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G28" s="111">
        <f>IF(T28=0,0,VLOOKUP(T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H28" s="111">
        <f>IF(U28=0,0,VLOOKUP(U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I28" s="111">
        <f>IF(V28=0,0,VLOOKUP(V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J28" s="111">
        <f>IF(W28=0,0,VLOOKUP(W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K28" s="713" t="s">
        <v>52</v>
      </c>
      <c r="L28" s="706" t="e">
        <f>IF(K28=0,0,VLOOKUP(K28,CBGV!$B$4:$M$68,12,0))</f>
        <v>#N/A</v>
      </c>
      <c r="M28" s="54" t="s">
        <v>14</v>
      </c>
      <c r="N28" s="277"/>
      <c r="O28" s="278"/>
      <c r="P28" s="278"/>
      <c r="Q28" s="278"/>
      <c r="R28" s="279"/>
      <c r="S28" s="279"/>
      <c r="T28" s="279"/>
      <c r="U28" s="280"/>
      <c r="V28" s="280"/>
      <c r="W28" s="281"/>
      <c r="X28" s="706" t="e">
        <f>IF(K28=0,0,VLOOKUP(K28,CBGV!$B$4:$P$68,14,0))+IF(L28=0,0,VLOOKUP(L28,'T-L-K'!$B$7:$BH$36,2,0))</f>
        <v>#N/A</v>
      </c>
      <c r="Y28" s="716">
        <f>SUM(A28:J30)</f>
        <v>0</v>
      </c>
      <c r="Z28" s="716" t="e">
        <f>SUM(A28:J30)+X28</f>
        <v>#N/A</v>
      </c>
      <c r="AA28" s="706" t="e">
        <f>IF((Z28-(VLOOKUP(K28,CBGV!$B$4:$P$68,13,0)))&lt;=-14,"/",(Z28-(VLOOKUP(K28,CBGV!$B$4:$P$68,13,0))))</f>
        <v>#N/A</v>
      </c>
      <c r="AB28" s="88" t="s">
        <v>44</v>
      </c>
    </row>
    <row r="29" spans="1:28" s="3" customFormat="1" ht="11.25" customHeight="1" x14ac:dyDescent="0.2">
      <c r="A29" s="111">
        <f>IF(N29=0,0,VLOOKUP(N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B29" s="111">
        <f>IF(O29=0,0,VLOOKUP(O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C29" s="111">
        <f>IF(P29=0,0,VLOOKUP(P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D29" s="111">
        <f>IF(Q29=0,0,VLOOKUP(Q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E29" s="111">
        <f>IF(R29=0,0,VLOOKUP(R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F29" s="111">
        <f>IF(S29=0,0,VLOOKUP(S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G29" s="111">
        <f>IF(T29=0,0,VLOOKUP(T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H29" s="111">
        <f>IF(U29=0,0,VLOOKUP(U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I29" s="111">
        <f>IF(V29=0,0,VLOOKUP(V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J29" s="111">
        <f>IF(W29=0,0,VLOOKUP(W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K29" s="714"/>
      <c r="L29" s="707"/>
      <c r="M29" s="55" t="s">
        <v>22</v>
      </c>
      <c r="N29" s="282"/>
      <c r="O29" s="283"/>
      <c r="P29" s="283"/>
      <c r="Q29" s="283"/>
      <c r="R29" s="284"/>
      <c r="S29" s="284"/>
      <c r="T29" s="284"/>
      <c r="U29" s="285"/>
      <c r="V29" s="285"/>
      <c r="W29" s="286"/>
      <c r="X29" s="707"/>
      <c r="Y29" s="707"/>
      <c r="Z29" s="707"/>
      <c r="AA29" s="707"/>
      <c r="AB29" s="88" t="s">
        <v>44</v>
      </c>
    </row>
    <row r="30" spans="1:28" s="3" customFormat="1" ht="11.25" customHeight="1" x14ac:dyDescent="0.2">
      <c r="A30" s="111">
        <f>IF(N30=0,0,VLOOKUP(N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B30" s="111">
        <f>IF(O30=0,0,VLOOKUP(O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C30" s="111">
        <f>IF(P30=0,0,VLOOKUP(P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D30" s="111">
        <f>IF(Q30=0,0,VLOOKUP(Q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E30" s="111">
        <f>IF(R30=0,0,VLOOKUP(R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F30" s="111">
        <f>IF(S30=0,0,VLOOKUP(S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G30" s="111">
        <f>IF(T30=0,0,VLOOKUP(T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H30" s="111">
        <f>IF(U30=0,0,VLOOKUP(U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I30" s="111">
        <f>IF(V30=0,0,VLOOKUP(V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J30" s="111">
        <f>IF(W30=0,0,VLOOKUP(W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K30" s="715"/>
      <c r="L30" s="708"/>
      <c r="M30" s="56" t="s">
        <v>309</v>
      </c>
      <c r="N30" s="287"/>
      <c r="O30" s="288"/>
      <c r="P30" s="288"/>
      <c r="Q30" s="288"/>
      <c r="R30" s="289"/>
      <c r="S30" s="289"/>
      <c r="T30" s="289"/>
      <c r="U30" s="290"/>
      <c r="V30" s="290"/>
      <c r="W30" s="291"/>
      <c r="X30" s="708"/>
      <c r="Y30" s="708"/>
      <c r="Z30" s="708"/>
      <c r="AA30" s="708"/>
      <c r="AB30" s="88" t="s">
        <v>44</v>
      </c>
    </row>
    <row r="31" spans="1:28" s="3" customFormat="1" ht="11.25" customHeight="1" x14ac:dyDescent="0.2">
      <c r="A31" s="111">
        <f>IF(N31=0,0,VLOOKUP(N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B31" s="111">
        <f>IF(O31=0,0,VLOOKUP(O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C31" s="111">
        <f>IF(P31=0,0,VLOOKUP(P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D31" s="111">
        <f>IF(Q31=0,0,VLOOKUP(Q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E31" s="111">
        <f>IF(R31=0,0,VLOOKUP(R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F31" s="111">
        <f>IF(S31=0,0,VLOOKUP(S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G31" s="111">
        <f>IF(T31=0,0,VLOOKUP(T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H31" s="111">
        <f>IF(U31=0,0,VLOOKUP(U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I31" s="111">
        <f>IF(V31=0,0,VLOOKUP(V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J31" s="111">
        <f>IF(W31=0,0,VLOOKUP(W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K31" s="703" t="s">
        <v>53</v>
      </c>
      <c r="L31" s="706" t="str">
        <f>IF(K31=0,0,VLOOKUP(K31,CBGV!$B$4:$M$68,12,0))</f>
        <v>11A9</v>
      </c>
      <c r="M31" s="57" t="s">
        <v>14</v>
      </c>
      <c r="N31" s="277" t="s">
        <v>18</v>
      </c>
      <c r="O31" s="278" t="s">
        <v>204</v>
      </c>
      <c r="P31" s="278"/>
      <c r="Q31" s="278"/>
      <c r="R31" s="279"/>
      <c r="S31" s="279"/>
      <c r="T31" s="279"/>
      <c r="U31" s="280"/>
      <c r="V31" s="280"/>
      <c r="W31" s="281"/>
      <c r="X31" s="709">
        <f>IF(K31=0,0,VLOOKUP(K31,CBGV!$B$4:$P$68,14,0))+IF(L31=0,0,VLOOKUP(L31,'T-L-K'!$B$7:$BH$36,2,0))</f>
        <v>5</v>
      </c>
      <c r="Y31" s="712">
        <f>SUM(A31:J33)</f>
        <v>12</v>
      </c>
      <c r="Z31" s="712">
        <f>SUM(A31:J33)+X31</f>
        <v>17</v>
      </c>
      <c r="AA31" s="709">
        <f>IF((Z31-(VLOOKUP(K31,CBGV!$B$4:$P$68,13,0)))&lt;=-14,"/",(Z31-(VLOOKUP(K31,CBGV!$B$4:$P$68,13,0))))</f>
        <v>0</v>
      </c>
      <c r="AB31" s="88" t="s">
        <v>44</v>
      </c>
    </row>
    <row r="32" spans="1:28" s="3" customFormat="1" ht="11.25" customHeight="1" x14ac:dyDescent="0.2">
      <c r="A32" s="111">
        <f>IF(N32=0,0,VLOOKUP(N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B32" s="111">
        <f>IF(O32=0,0,VLOOKUP(O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C32" s="111">
        <f>IF(P32=0,0,VLOOKUP(P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D32" s="111">
        <f>IF(Q32=0,0,VLOOKUP(Q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E32" s="111">
        <f>IF(R32=0,0,VLOOKUP(R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F32" s="111">
        <f>IF(S32=0,0,VLOOKUP(S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G32" s="111">
        <f>IF(T32=0,0,VLOOKUP(T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H32" s="111">
        <f>IF(U32=0,0,VLOOKUP(U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I32" s="111">
        <f>IF(V32=0,0,VLOOKUP(V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J32" s="111">
        <f>IF(W32=0,0,VLOOKUP(W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K32" s="704"/>
      <c r="L32" s="707"/>
      <c r="M32" s="51" t="s">
        <v>22</v>
      </c>
      <c r="N32" s="282"/>
      <c r="O32" s="283" t="s">
        <v>204</v>
      </c>
      <c r="P32" s="283"/>
      <c r="Q32" s="283"/>
      <c r="R32" s="284"/>
      <c r="S32" s="284"/>
      <c r="T32" s="284"/>
      <c r="U32" s="285"/>
      <c r="V32" s="285"/>
      <c r="W32" s="286"/>
      <c r="X32" s="710"/>
      <c r="Y32" s="710"/>
      <c r="Z32" s="710"/>
      <c r="AA32" s="710"/>
      <c r="AB32" s="88" t="s">
        <v>44</v>
      </c>
    </row>
    <row r="33" spans="1:28" s="3" customFormat="1" ht="11.25" customHeight="1" x14ac:dyDescent="0.2">
      <c r="A33" s="111">
        <f>IF(N33=0,0,VLOOKUP(N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B33" s="111">
        <f>IF(O33=0,0,VLOOKUP(O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C33" s="111">
        <f>IF(P33=0,0,VLOOKUP(P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D33" s="111">
        <f>IF(Q33=0,0,VLOOKUP(Q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E33" s="111">
        <f>IF(R33=0,0,VLOOKUP(R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F33" s="111">
        <f>IF(S33=0,0,VLOOKUP(S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G33" s="111">
        <f>IF(T33=0,0,VLOOKUP(T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H33" s="111">
        <f>IF(U33=0,0,VLOOKUP(U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I33" s="111">
        <f>IF(V33=0,0,VLOOKUP(V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J33" s="111">
        <f>IF(W33=0,0,VLOOKUP(W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K33" s="705"/>
      <c r="L33" s="708"/>
      <c r="M33" s="52" t="s">
        <v>309</v>
      </c>
      <c r="N33" s="287" t="s">
        <v>204</v>
      </c>
      <c r="O33" s="393" t="s">
        <v>305</v>
      </c>
      <c r="P33" s="288"/>
      <c r="Q33" s="288"/>
      <c r="R33" s="289"/>
      <c r="S33" s="289"/>
      <c r="T33" s="289"/>
      <c r="U33" s="290"/>
      <c r="V33" s="290"/>
      <c r="W33" s="291"/>
      <c r="X33" s="711"/>
      <c r="Y33" s="711"/>
      <c r="Z33" s="711"/>
      <c r="AA33" s="711"/>
      <c r="AB33" s="88" t="s">
        <v>44</v>
      </c>
    </row>
    <row r="34" spans="1:28" s="3" customFormat="1" ht="11.25" customHeight="1" x14ac:dyDescent="0.2">
      <c r="A34" s="111">
        <f>IF(N34=0,0,VLOOKUP(N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B34" s="111">
        <f>IF(O34=0,0,VLOOKUP(O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C34" s="111">
        <f>IF(P34=0,0,VLOOKUP(P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D34" s="111">
        <f>IF(Q34=0,0,VLOOKUP(Q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E34" s="111">
        <f>IF(R34=0,0,VLOOKUP(R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F34" s="111">
        <f>IF(S34=0,0,VLOOKUP(S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G34" s="111">
        <f>IF(T34=0,0,VLOOKUP(T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H34" s="111">
        <f>IF(U34=0,0,VLOOKUP(U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I34" s="111">
        <f>IF(V34=0,0,VLOOKUP(V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J34" s="111">
        <f>IF(W34=0,0,VLOOKUP(W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K34" s="713" t="s">
        <v>54</v>
      </c>
      <c r="L34" s="706">
        <f>IF(K34=0,0,VLOOKUP(K34,CBGV!$B$4:$M$68,12,0))</f>
        <v>0</v>
      </c>
      <c r="M34" s="54" t="s">
        <v>14</v>
      </c>
      <c r="N34" s="277" t="s">
        <v>21</v>
      </c>
      <c r="O34" s="278" t="s">
        <v>148</v>
      </c>
      <c r="P34" s="278" t="s">
        <v>116</v>
      </c>
      <c r="Q34" s="278"/>
      <c r="R34" s="279"/>
      <c r="S34" s="279"/>
      <c r="T34" s="279"/>
      <c r="U34" s="280"/>
      <c r="V34" s="280"/>
      <c r="W34" s="281"/>
      <c r="X34" s="706">
        <f>IF(K34=0,0,VLOOKUP(K34,CBGV!$B$4:$P$68,14,0))+IF(L34=0,0,VLOOKUP(L34,'T-L-K'!$B$7:$BH$36,2,0))</f>
        <v>0</v>
      </c>
      <c r="Y34" s="716">
        <f>SUM(A34:J36)</f>
        <v>17</v>
      </c>
      <c r="Z34" s="716">
        <f>SUM(A34:J36)+X34</f>
        <v>17</v>
      </c>
      <c r="AA34" s="706">
        <f>IF((Z34-(VLOOKUP(K34,CBGV!$B$4:$P$68,13,0)))&lt;=-14,"/",(Z34-(VLOOKUP(K34,CBGV!$B$4:$P$68,13,0))))</f>
        <v>0</v>
      </c>
      <c r="AB34" s="88" t="s">
        <v>44</v>
      </c>
    </row>
    <row r="35" spans="1:28" s="3" customFormat="1" ht="11.25" customHeight="1" x14ac:dyDescent="0.2">
      <c r="A35" s="111">
        <f>IF(N35=0,0,VLOOKUP(N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B35" s="111">
        <f>IF(O35=0,0,VLOOKUP(O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C35" s="111">
        <f>IF(P35=0,0,VLOOKUP(P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D35" s="111">
        <f>IF(Q35=0,0,VLOOKUP(Q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E35" s="111">
        <f>IF(R35=0,0,VLOOKUP(R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F35" s="111">
        <f>IF(S35=0,0,VLOOKUP(S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G35" s="111">
        <f>IF(T35=0,0,VLOOKUP(T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H35" s="111">
        <f>IF(U35=0,0,VLOOKUP(U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I35" s="111">
        <f>IF(V35=0,0,VLOOKUP(V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J35" s="111">
        <f>IF(W35=0,0,VLOOKUP(W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K35" s="714"/>
      <c r="L35" s="707"/>
      <c r="M35" s="55" t="s">
        <v>22</v>
      </c>
      <c r="N35" s="282" t="s">
        <v>148</v>
      </c>
      <c r="O35" s="283" t="s">
        <v>116</v>
      </c>
      <c r="P35" s="283"/>
      <c r="Q35" s="283"/>
      <c r="R35" s="284"/>
      <c r="S35" s="284"/>
      <c r="T35" s="284"/>
      <c r="U35" s="285"/>
      <c r="V35" s="285"/>
      <c r="W35" s="286"/>
      <c r="X35" s="707"/>
      <c r="Y35" s="707"/>
      <c r="Z35" s="707"/>
      <c r="AA35" s="707"/>
      <c r="AB35" s="88" t="s">
        <v>44</v>
      </c>
    </row>
    <row r="36" spans="1:28" s="3" customFormat="1" ht="11.25" customHeight="1" x14ac:dyDescent="0.2">
      <c r="A36" s="111">
        <f>IF(N36=0,0,VLOOKUP(N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B36" s="111">
        <f>IF(O36=0,0,VLOOKUP(O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1</v>
      </c>
      <c r="C36" s="111">
        <f>IF(P36=0,0,VLOOKUP(P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D36" s="111">
        <f>IF(Q36=0,0,VLOOKUP(Q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E36" s="111">
        <f>IF(R36=0,0,VLOOKUP(R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F36" s="111">
        <f>IF(S36=0,0,VLOOKUP(S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G36" s="111">
        <f>IF(T36=0,0,VLOOKUP(T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H36" s="111">
        <f>IF(U36=0,0,VLOOKUP(U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I36" s="111">
        <f>IF(V36=0,0,VLOOKUP(V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J36" s="111">
        <f>IF(W36=0,0,VLOOKUP(W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K36" s="715"/>
      <c r="L36" s="708"/>
      <c r="M36" s="56" t="s">
        <v>309</v>
      </c>
      <c r="N36" s="287"/>
      <c r="O36" s="393" t="s">
        <v>21</v>
      </c>
      <c r="P36" s="288"/>
      <c r="Q36" s="288"/>
      <c r="R36" s="289"/>
      <c r="S36" s="289"/>
      <c r="T36" s="289"/>
      <c r="U36" s="290"/>
      <c r="V36" s="290"/>
      <c r="W36" s="291"/>
      <c r="X36" s="708"/>
      <c r="Y36" s="708"/>
      <c r="Z36" s="708"/>
      <c r="AA36" s="708"/>
      <c r="AB36" s="88" t="s">
        <v>44</v>
      </c>
    </row>
    <row r="37" spans="1:28" s="3" customFormat="1" ht="11.25" customHeight="1" x14ac:dyDescent="0.2">
      <c r="A37" s="111">
        <f>IF(N37=0,0,VLOOKUP(N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4</v>
      </c>
      <c r="B37" s="111">
        <f>IF(O37=0,0,VLOOKUP(O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4</v>
      </c>
      <c r="C37" s="111">
        <f>IF(P37=0,0,VLOOKUP(P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D37" s="111">
        <f>IF(Q37=0,0,VLOOKUP(Q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E37" s="111">
        <f>IF(R37=0,0,VLOOKUP(R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F37" s="111">
        <f>IF(S37=0,0,VLOOKUP(S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G37" s="111">
        <f>IF(T37=0,0,VLOOKUP(T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H37" s="111">
        <f>IF(U37=0,0,VLOOKUP(U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I37" s="111">
        <f>IF(V37=0,0,VLOOKUP(V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J37" s="111">
        <f>IF(W37=0,0,VLOOKUP(W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K37" s="703" t="s">
        <v>55</v>
      </c>
      <c r="L37" s="706">
        <f>IF(K37=0,0,VLOOKUP(K37,CBGV!$B$4:$M$68,12,0))</f>
        <v>0</v>
      </c>
      <c r="M37" s="57" t="s">
        <v>14</v>
      </c>
      <c r="N37" s="277" t="s">
        <v>20</v>
      </c>
      <c r="O37" s="278" t="s">
        <v>219</v>
      </c>
      <c r="P37" s="278"/>
      <c r="Q37" s="278"/>
      <c r="R37" s="279"/>
      <c r="S37" s="279"/>
      <c r="T37" s="279"/>
      <c r="U37" s="280"/>
      <c r="V37" s="280"/>
      <c r="W37" s="281"/>
      <c r="X37" s="709">
        <f>IF(K37=0,0,VLOOKUP(K37,CBGV!$B$4:$P$68,14,0))+IF(L37=0,0,VLOOKUP(L37,'T-L-K'!$B$7:$BH$36,2,0))</f>
        <v>0</v>
      </c>
      <c r="Y37" s="712">
        <f>SUM(A37:J39)</f>
        <v>16</v>
      </c>
      <c r="Z37" s="712">
        <f>SUM(A37:J39)+X37</f>
        <v>16</v>
      </c>
      <c r="AA37" s="709">
        <f>IF((Z37-(VLOOKUP(K37,CBGV!$B$4:$P$68,13,0)))&lt;=-14,"/",(Z37-(VLOOKUP(K37,CBGV!$B$4:$P$68,13,0))))</f>
        <v>-1</v>
      </c>
      <c r="AB37" s="88" t="s">
        <v>44</v>
      </c>
    </row>
    <row r="38" spans="1:28" s="3" customFormat="1" ht="11.25" customHeight="1" x14ac:dyDescent="0.2">
      <c r="A38" s="111">
        <f>IF(N38=0,0,VLOOKUP(N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B38" s="111">
        <f>IF(O38=0,0,VLOOKUP(O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C38" s="111">
        <f>IF(P38=0,0,VLOOKUP(P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D38" s="111">
        <f>IF(Q38=0,0,VLOOKUP(Q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E38" s="111">
        <f>IF(R38=0,0,VLOOKUP(R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F38" s="111">
        <f>IF(S38=0,0,VLOOKUP(S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G38" s="111">
        <f>IF(T38=0,0,VLOOKUP(T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H38" s="111">
        <f>IF(U38=0,0,VLOOKUP(U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I38" s="111">
        <f>IF(V38=0,0,VLOOKUP(V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J38" s="111">
        <f>IF(W38=0,0,VLOOKUP(W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K38" s="704"/>
      <c r="L38" s="707"/>
      <c r="M38" s="51" t="s">
        <v>22</v>
      </c>
      <c r="N38" s="282" t="s">
        <v>203</v>
      </c>
      <c r="O38" s="283" t="s">
        <v>124</v>
      </c>
      <c r="P38" s="283" t="s">
        <v>201</v>
      </c>
      <c r="Q38" s="283" t="s">
        <v>24</v>
      </c>
      <c r="R38" s="284"/>
      <c r="S38" s="284"/>
      <c r="T38" s="284"/>
      <c r="U38" s="285"/>
      <c r="V38" s="285"/>
      <c r="W38" s="286"/>
      <c r="X38" s="710"/>
      <c r="Y38" s="710"/>
      <c r="Z38" s="710"/>
      <c r="AA38" s="710"/>
      <c r="AB38" s="88" t="s">
        <v>44</v>
      </c>
    </row>
    <row r="39" spans="1:28" s="3" customFormat="1" ht="11.25" customHeight="1" x14ac:dyDescent="0.2">
      <c r="A39" s="111">
        <f>IF(N39=0,0,VLOOKUP(N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B39" s="111">
        <f>IF(O39=0,0,VLOOKUP(O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C39" s="111">
        <f>IF(P39=0,0,VLOOKUP(P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D39" s="111">
        <f>IF(Q39=0,0,VLOOKUP(Q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E39" s="111">
        <f>IF(R39=0,0,VLOOKUP(R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F39" s="111">
        <f>IF(S39=0,0,VLOOKUP(S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G39" s="111">
        <f>IF(T39=0,0,VLOOKUP(T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H39" s="111">
        <f>IF(U39=0,0,VLOOKUP(U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I39" s="111">
        <f>IF(V39=0,0,VLOOKUP(V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J39" s="111">
        <f>IF(W39=0,0,VLOOKUP(W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K39" s="705"/>
      <c r="L39" s="708"/>
      <c r="M39" s="52" t="s">
        <v>309</v>
      </c>
      <c r="N39" s="287"/>
      <c r="O39" s="288"/>
      <c r="P39" s="288"/>
      <c r="Q39" s="288"/>
      <c r="R39" s="289"/>
      <c r="S39" s="289"/>
      <c r="T39" s="289"/>
      <c r="U39" s="290"/>
      <c r="V39" s="290"/>
      <c r="W39" s="291"/>
      <c r="X39" s="711"/>
      <c r="Y39" s="711"/>
      <c r="Z39" s="711"/>
      <c r="AA39" s="711"/>
      <c r="AB39" s="88" t="s">
        <v>44</v>
      </c>
    </row>
    <row r="40" spans="1:28" s="3" customFormat="1" ht="11.25" customHeight="1" x14ac:dyDescent="0.2">
      <c r="A40" s="111">
        <f>IF(N40=0,0,VLOOKUP(N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B40" s="111">
        <f>IF(O40=0,0,VLOOKUP(O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C40" s="111">
        <f>IF(P40=0,0,VLOOKUP(P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D40" s="111">
        <f>IF(Q40=0,0,VLOOKUP(Q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E40" s="111">
        <f>IF(R40=0,0,VLOOKUP(R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F40" s="111">
        <f>IF(S40=0,0,VLOOKUP(S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G40" s="111">
        <f>IF(T40=0,0,VLOOKUP(T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H40" s="111">
        <f>IF(U40=0,0,VLOOKUP(U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I40" s="111">
        <f>IF(V40=0,0,VLOOKUP(V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J40" s="111">
        <f>IF(W40=0,0,VLOOKUP(W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K40" s="713" t="s">
        <v>236</v>
      </c>
      <c r="L40" s="706">
        <f>IF(K40=0,0,VLOOKUP(K40,CBGV!$B$4:$M$68,12,0))</f>
        <v>0</v>
      </c>
      <c r="M40" s="54" t="s">
        <v>22</v>
      </c>
      <c r="N40" s="277" t="s">
        <v>27</v>
      </c>
      <c r="O40" s="278" t="s">
        <v>30</v>
      </c>
      <c r="P40" s="278" t="s">
        <v>140</v>
      </c>
      <c r="Q40" s="278" t="s">
        <v>173</v>
      </c>
      <c r="R40" s="279" t="s">
        <v>213</v>
      </c>
      <c r="S40" s="279" t="s">
        <v>214</v>
      </c>
      <c r="T40" s="279" t="s">
        <v>215</v>
      </c>
      <c r="U40" s="280" t="s">
        <v>219</v>
      </c>
      <c r="V40" s="280"/>
      <c r="W40" s="281"/>
      <c r="X40" s="706">
        <f>IF(K40=0,0,VLOOKUP(K40,CBGV!$B$4:$P$68,14,0))+IF(L40=0,0,VLOOKUP(L40,'T-L-K'!$B$7:$BH$36,2,0))</f>
        <v>1</v>
      </c>
      <c r="Y40" s="716">
        <f>SUM(A40:J42)</f>
        <v>16</v>
      </c>
      <c r="Z40" s="716">
        <f>SUM(A40:J42)+X40</f>
        <v>17</v>
      </c>
      <c r="AA40" s="706">
        <f>IF((Z40-(VLOOKUP(K40,CBGV!$B$4:$P$68,13,0)))&lt;=-14,"/",(Z40-(VLOOKUP(K40,CBGV!$B$4:$P$68,13,0))))</f>
        <v>0</v>
      </c>
      <c r="AB40" s="88" t="s">
        <v>44</v>
      </c>
    </row>
    <row r="41" spans="1:28" s="3" customFormat="1" ht="11.25" customHeight="1" x14ac:dyDescent="0.2">
      <c r="A41" s="111">
        <f>IF(N41=0,0,VLOOKUP(N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B41" s="111">
        <f>IF(O41=0,0,VLOOKUP(O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C41" s="111">
        <f>IF(P41=0,0,VLOOKUP(P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D41" s="111">
        <f>IF(Q41=0,0,VLOOKUP(Q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E41" s="111">
        <f>IF(R41=0,0,VLOOKUP(R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F41" s="111">
        <f>IF(S41=0,0,VLOOKUP(S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G41" s="111">
        <f>IF(T41=0,0,VLOOKUP(T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H41" s="111">
        <f>IF(U41=0,0,VLOOKUP(U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I41" s="111">
        <f>IF(V41=0,0,VLOOKUP(V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J41" s="111">
        <f>IF(W41=0,0,VLOOKUP(W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K41" s="714"/>
      <c r="L41" s="707"/>
      <c r="M41" s="55" t="s">
        <v>22</v>
      </c>
      <c r="N41" s="282"/>
      <c r="O41" s="283"/>
      <c r="P41" s="283"/>
      <c r="Q41" s="283"/>
      <c r="R41" s="284"/>
      <c r="S41" s="284"/>
      <c r="T41" s="284"/>
      <c r="U41" s="285"/>
      <c r="V41" s="285"/>
      <c r="W41" s="286"/>
      <c r="X41" s="707"/>
      <c r="Y41" s="707"/>
      <c r="Z41" s="707"/>
      <c r="AA41" s="707"/>
      <c r="AB41" s="88" t="s">
        <v>44</v>
      </c>
    </row>
    <row r="42" spans="1:28" s="3" customFormat="1" ht="11.25" customHeight="1" x14ac:dyDescent="0.2">
      <c r="A42" s="111">
        <f>IF(N42=0,0,VLOOKUP(N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B42" s="111">
        <f>IF(O42=0,0,VLOOKUP(O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C42" s="111">
        <f>IF(P42=0,0,VLOOKUP(P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D42" s="111">
        <f>IF(Q42=0,0,VLOOKUP(Q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E42" s="111">
        <f>IF(R42=0,0,VLOOKUP(R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F42" s="111">
        <f>IF(S42=0,0,VLOOKUP(S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G42" s="111">
        <f>IF(T42=0,0,VLOOKUP(T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H42" s="111">
        <f>IF(U42=0,0,VLOOKUP(U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I42" s="111">
        <f>IF(V42=0,0,VLOOKUP(V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J42" s="111">
        <f>IF(W42=0,0,VLOOKUP(W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K42" s="715"/>
      <c r="L42" s="708"/>
      <c r="M42" s="56" t="s">
        <v>309</v>
      </c>
      <c r="N42" s="287"/>
      <c r="O42" s="288"/>
      <c r="P42" s="288"/>
      <c r="Q42" s="288"/>
      <c r="R42" s="289"/>
      <c r="S42" s="289"/>
      <c r="T42" s="289"/>
      <c r="U42" s="290"/>
      <c r="V42" s="290"/>
      <c r="W42" s="291"/>
      <c r="X42" s="708"/>
      <c r="Y42" s="708"/>
      <c r="Z42" s="708"/>
      <c r="AA42" s="708"/>
      <c r="AB42" s="88" t="s">
        <v>44</v>
      </c>
    </row>
    <row r="43" spans="1:28" s="3" customFormat="1" ht="11.25" customHeight="1" x14ac:dyDescent="0.2">
      <c r="A43" s="111">
        <f>IF(N43=0,0,VLOOKUP(N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B43" s="111">
        <f>IF(O43=0,0,VLOOKUP(O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C43" s="111">
        <f>IF(P43=0,0,VLOOKUP(P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D43" s="111">
        <f>IF(Q43=0,0,VLOOKUP(Q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E43" s="111">
        <f>IF(R43=0,0,VLOOKUP(R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F43" s="111">
        <f>IF(S43=0,0,VLOOKUP(S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G43" s="111">
        <f>IF(T43=0,0,VLOOKUP(T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H43" s="111">
        <f>IF(U43=0,0,VLOOKUP(U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I43" s="111">
        <f>IF(V43=0,0,VLOOKUP(V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J43" s="111">
        <f>IF(W43=0,0,VLOOKUP(W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K43" s="703" t="s">
        <v>57</v>
      </c>
      <c r="L43" s="706">
        <f>IF(K43=0,0,VLOOKUP(K43,CBGV!$B$4:$M$68,12,0))</f>
        <v>0</v>
      </c>
      <c r="M43" s="57" t="s">
        <v>178</v>
      </c>
      <c r="N43" s="277" t="s">
        <v>18</v>
      </c>
      <c r="O43" s="278" t="s">
        <v>305</v>
      </c>
      <c r="P43" s="278" t="s">
        <v>31</v>
      </c>
      <c r="Q43" s="278" t="s">
        <v>196</v>
      </c>
      <c r="R43" s="279"/>
      <c r="S43" s="279"/>
      <c r="T43" s="279"/>
      <c r="U43" s="280"/>
      <c r="V43" s="280"/>
      <c r="W43" s="281"/>
      <c r="X43" s="709">
        <f>IF(K43=0,0,VLOOKUP(K43,CBGV!$B$4:$P$68,14,0))+IF(L43=0,0,VLOOKUP(L43,'T-L-K'!$B$7:$BH$36,2,0))</f>
        <v>5</v>
      </c>
      <c r="Y43" s="712">
        <f>SUM(A43:J45)</f>
        <v>12</v>
      </c>
      <c r="Z43" s="712">
        <f>SUM(A43:J45)+X43</f>
        <v>17</v>
      </c>
      <c r="AA43" s="709">
        <f>IF((Z43-(VLOOKUP(K43,CBGV!$B$4:$P$68,13,0)))&lt;=-14,"/",(Z43-(VLOOKUP(K43,CBGV!$B$4:$P$68,13,0))))</f>
        <v>0</v>
      </c>
      <c r="AB43" s="88" t="s">
        <v>23</v>
      </c>
    </row>
    <row r="44" spans="1:28" s="3" customFormat="1" ht="11.25" customHeight="1" x14ac:dyDescent="0.2">
      <c r="A44" s="111">
        <f>IF(N44=0,0,VLOOKUP(N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B44" s="111">
        <f>IF(O44=0,0,VLOOKUP(O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C44" s="111">
        <f>IF(P44=0,0,VLOOKUP(P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D44" s="111">
        <f>IF(Q44=0,0,VLOOKUP(Q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E44" s="111">
        <f>IF(R44=0,0,VLOOKUP(R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F44" s="111">
        <f>IF(S44=0,0,VLOOKUP(S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G44" s="111">
        <f>IF(T44=0,0,VLOOKUP(T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H44" s="111">
        <f>IF(U44=0,0,VLOOKUP(U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I44" s="111">
        <f>IF(V44=0,0,VLOOKUP(V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J44" s="111">
        <f>IF(W44=0,0,VLOOKUP(W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K44" s="704"/>
      <c r="L44" s="707"/>
      <c r="M44" s="51" t="s">
        <v>326</v>
      </c>
      <c r="N44" s="282" t="s">
        <v>18</v>
      </c>
      <c r="O44" s="283" t="s">
        <v>196</v>
      </c>
      <c r="P44" s="283"/>
      <c r="Q44" s="283"/>
      <c r="R44" s="284"/>
      <c r="S44" s="284"/>
      <c r="T44" s="284"/>
      <c r="U44" s="285"/>
      <c r="V44" s="285"/>
      <c r="W44" s="286"/>
      <c r="X44" s="710"/>
      <c r="Y44" s="710"/>
      <c r="Z44" s="710"/>
      <c r="AA44" s="710"/>
      <c r="AB44" s="88" t="s">
        <v>23</v>
      </c>
    </row>
    <row r="45" spans="1:28" s="3" customFormat="1" ht="11.25" customHeight="1" x14ac:dyDescent="0.2">
      <c r="A45" s="111">
        <f>IF(N45=0,0,VLOOKUP(N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B45" s="111">
        <f>IF(O45=0,0,VLOOKUP(O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C45" s="111">
        <f>IF(P45=0,0,VLOOKUP(P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D45" s="111">
        <f>IF(Q45=0,0,VLOOKUP(Q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E45" s="111">
        <f>IF(R45=0,0,VLOOKUP(R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F45" s="111">
        <f>IF(S45=0,0,VLOOKUP(S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G45" s="111">
        <f>IF(T45=0,0,VLOOKUP(T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H45" s="111">
        <f>IF(U45=0,0,VLOOKUP(U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I45" s="111">
        <f>IF(V45=0,0,VLOOKUP(V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J45" s="111">
        <f>IF(W45=0,0,VLOOKUP(W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K45" s="705"/>
      <c r="L45" s="708"/>
      <c r="M45" s="52" t="s">
        <v>309</v>
      </c>
      <c r="N45" s="287"/>
      <c r="O45" s="288"/>
      <c r="P45" s="288"/>
      <c r="Q45" s="288"/>
      <c r="R45" s="289"/>
      <c r="S45" s="289"/>
      <c r="T45" s="289"/>
      <c r="U45" s="290"/>
      <c r="V45" s="290"/>
      <c r="W45" s="291"/>
      <c r="X45" s="711"/>
      <c r="Y45" s="711"/>
      <c r="Z45" s="711"/>
      <c r="AA45" s="711"/>
      <c r="AB45" s="88" t="s">
        <v>23</v>
      </c>
    </row>
    <row r="46" spans="1:28" s="3" customFormat="1" ht="11.25" customHeight="1" x14ac:dyDescent="0.2">
      <c r="A46" s="111">
        <f>IF(N46=0,0,VLOOKUP(N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2</v>
      </c>
      <c r="B46" s="111">
        <f>IF(O46=0,0,VLOOKUP(O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C46" s="111">
        <f>IF(P46=0,0,VLOOKUP(P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D46" s="111">
        <f>IF(Q46=0,0,VLOOKUP(Q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E46" s="111">
        <f>IF(R46=0,0,VLOOKUP(R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F46" s="111">
        <f>IF(S46=0,0,VLOOKUP(S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G46" s="111">
        <f>IF(T46=0,0,VLOOKUP(T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H46" s="111">
        <f>IF(U46=0,0,VLOOKUP(U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I46" s="111">
        <f>IF(V46=0,0,VLOOKUP(V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J46" s="111">
        <f>IF(W46=0,0,VLOOKUP(W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K46" s="713" t="s">
        <v>58</v>
      </c>
      <c r="L46" s="706" t="str">
        <f>IF(K46=0,0,VLOOKUP(K46,CBGV!$B$4:$M$68,12,0))</f>
        <v>12A9</v>
      </c>
      <c r="M46" s="54" t="s">
        <v>178</v>
      </c>
      <c r="N46" s="277" t="s">
        <v>30</v>
      </c>
      <c r="O46" s="278" t="s">
        <v>219</v>
      </c>
      <c r="P46" s="278" t="s">
        <v>148</v>
      </c>
      <c r="Q46" s="278"/>
      <c r="R46" s="279"/>
      <c r="S46" s="279"/>
      <c r="T46" s="279"/>
      <c r="U46" s="280"/>
      <c r="V46" s="280"/>
      <c r="W46" s="281"/>
      <c r="X46" s="706">
        <f>IF(K46=0,0,VLOOKUP(K46,CBGV!$B$4:$P$68,14,0))+IF(L46=0,0,VLOOKUP(L46,'T-L-K'!$B$7:$BH$36,2,0))</f>
        <v>5</v>
      </c>
      <c r="Y46" s="716">
        <f>SUM(A46:J48)</f>
        <v>12</v>
      </c>
      <c r="Z46" s="716">
        <f>SUM(A46:J48)+X46</f>
        <v>17</v>
      </c>
      <c r="AA46" s="706">
        <f>IF((Z46-(VLOOKUP(K46,CBGV!$B$4:$P$68,13,0)))&lt;=-14,"/",(Z46-(VLOOKUP(K46,CBGV!$B$4:$P$68,13,0))))</f>
        <v>0</v>
      </c>
      <c r="AB46" s="88" t="s">
        <v>23</v>
      </c>
    </row>
    <row r="47" spans="1:28" s="3" customFormat="1" ht="11.25" customHeight="1" x14ac:dyDescent="0.2">
      <c r="A47" s="111">
        <f>IF(N47=0,0,VLOOKUP(N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B47" s="111">
        <f>IF(O47=0,0,VLOOKUP(O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C47" s="111">
        <f>IF(P47=0,0,VLOOKUP(P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D47" s="111">
        <f>IF(Q47=0,0,VLOOKUP(Q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E47" s="111">
        <f>IF(R47=0,0,VLOOKUP(R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F47" s="111">
        <f>IF(S47=0,0,VLOOKUP(S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G47" s="111">
        <f>IF(T47=0,0,VLOOKUP(T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H47" s="111">
        <f>IF(U47=0,0,VLOOKUP(U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I47" s="111">
        <f>IF(V47=0,0,VLOOKUP(V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J47" s="111">
        <f>IF(W47=0,0,VLOOKUP(W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K47" s="714"/>
      <c r="L47" s="707"/>
      <c r="M47" s="55" t="s">
        <v>326</v>
      </c>
      <c r="N47" s="282"/>
      <c r="O47" s="283" t="s">
        <v>173</v>
      </c>
      <c r="P47" s="283" t="s">
        <v>116</v>
      </c>
      <c r="Q47" s="283"/>
      <c r="R47" s="284"/>
      <c r="S47" s="284"/>
      <c r="T47" s="284"/>
      <c r="U47" s="285"/>
      <c r="V47" s="285"/>
      <c r="W47" s="286"/>
      <c r="X47" s="707"/>
      <c r="Y47" s="707"/>
      <c r="Z47" s="707"/>
      <c r="AA47" s="707"/>
      <c r="AB47" s="88" t="s">
        <v>23</v>
      </c>
    </row>
    <row r="48" spans="1:28" s="3" customFormat="1" ht="11.25" customHeight="1" x14ac:dyDescent="0.2">
      <c r="A48" s="111">
        <f>IF(N48=0,0,VLOOKUP(N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B48" s="111">
        <f>IF(O48=0,0,VLOOKUP(O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C48" s="111">
        <f>IF(P48=0,0,VLOOKUP(P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D48" s="111">
        <f>IF(Q48=0,0,VLOOKUP(Q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E48" s="111">
        <f>IF(R48=0,0,VLOOKUP(R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F48" s="111">
        <f>IF(S48=0,0,VLOOKUP(S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G48" s="111">
        <f>IF(T48=0,0,VLOOKUP(T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H48" s="111">
        <f>IF(U48=0,0,VLOOKUP(U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I48" s="111">
        <f>IF(V48=0,0,VLOOKUP(V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J48" s="111">
        <f>IF(W48=0,0,VLOOKUP(W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K48" s="715"/>
      <c r="L48" s="708"/>
      <c r="M48" s="56" t="s">
        <v>309</v>
      </c>
      <c r="N48" s="287"/>
      <c r="O48" s="288"/>
      <c r="P48" s="288"/>
      <c r="Q48" s="288"/>
      <c r="R48" s="289"/>
      <c r="S48" s="289"/>
      <c r="T48" s="289"/>
      <c r="U48" s="290"/>
      <c r="V48" s="290"/>
      <c r="W48" s="291"/>
      <c r="X48" s="708"/>
      <c r="Y48" s="708"/>
      <c r="Z48" s="708"/>
      <c r="AA48" s="708"/>
      <c r="AB48" s="88" t="s">
        <v>23</v>
      </c>
    </row>
    <row r="49" spans="1:28" s="3" customFormat="1" ht="11.25" customHeight="1" x14ac:dyDescent="0.2">
      <c r="A49" s="111">
        <f>IF(N49=0,0,VLOOKUP(N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B49" s="111">
        <f>IF(O49=0,0,VLOOKUP(O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C49" s="111">
        <f>IF(P49=0,0,VLOOKUP(P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D49" s="111">
        <f>IF(Q49=0,0,VLOOKUP(Q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E49" s="111">
        <f>IF(R49=0,0,VLOOKUP(R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F49" s="111">
        <f>IF(S49=0,0,VLOOKUP(S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G49" s="111">
        <f>IF(T49=0,0,VLOOKUP(T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H49" s="111">
        <f>IF(U49=0,0,VLOOKUP(U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I49" s="111">
        <f>IF(V49=0,0,VLOOKUP(V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J49" s="111">
        <f>IF(W49=0,0,VLOOKUP(W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K49" s="703" t="s">
        <v>59</v>
      </c>
      <c r="L49" s="706" t="str">
        <f>IF(K49=0,0,VLOOKUP(K49,CBGV!$B$4:$M$68,12,0))</f>
        <v>10A4</v>
      </c>
      <c r="M49" s="57" t="s">
        <v>178</v>
      </c>
      <c r="N49" s="277" t="s">
        <v>124</v>
      </c>
      <c r="O49" s="278" t="s">
        <v>121</v>
      </c>
      <c r="P49" s="278" t="s">
        <v>21</v>
      </c>
      <c r="Q49" s="278"/>
      <c r="R49" s="279"/>
      <c r="S49" s="279"/>
      <c r="T49" s="279"/>
      <c r="U49" s="280"/>
      <c r="V49" s="280"/>
      <c r="W49" s="281"/>
      <c r="X49" s="709">
        <f>IF(K49=0,0,VLOOKUP(K49,CBGV!$B$4:$P$68,14,0))+IF(L49=0,0,VLOOKUP(L49,'T-L-K'!$B$7:$BH$36,2,0))</f>
        <v>5</v>
      </c>
      <c r="Y49" s="712">
        <f>SUM(A49:J51)</f>
        <v>12</v>
      </c>
      <c r="Z49" s="712">
        <f>SUM(A49:J51)+X49</f>
        <v>17</v>
      </c>
      <c r="AA49" s="709">
        <f>IF((Z49-(VLOOKUP(K49,CBGV!$B$4:$P$68,13,0)))&lt;=-14,"/",(Z49-(VLOOKUP(K49,CBGV!$B$4:$P$68,13,0))))</f>
        <v>0</v>
      </c>
      <c r="AB49" s="88" t="s">
        <v>23</v>
      </c>
    </row>
    <row r="50" spans="1:28" s="3" customFormat="1" ht="11.25" customHeight="1" x14ac:dyDescent="0.2">
      <c r="A50" s="111">
        <f>IF(N50=0,0,VLOOKUP(N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B50" s="111">
        <f>IF(O50=0,0,VLOOKUP(O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C50" s="111">
        <f>IF(P50=0,0,VLOOKUP(P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D50" s="111">
        <f>IF(Q50=0,0,VLOOKUP(Q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E50" s="111">
        <f>IF(R50=0,0,VLOOKUP(R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F50" s="111">
        <f>IF(S50=0,0,VLOOKUP(S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G50" s="111">
        <f>IF(T50=0,0,VLOOKUP(T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H50" s="111">
        <f>IF(U50=0,0,VLOOKUP(U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I50" s="111">
        <f>IF(V50=0,0,VLOOKUP(V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J50" s="111">
        <f>IF(W50=0,0,VLOOKUP(W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K50" s="704"/>
      <c r="L50" s="707"/>
      <c r="M50" s="51" t="s">
        <v>326</v>
      </c>
      <c r="N50" s="282" t="s">
        <v>21</v>
      </c>
      <c r="O50" s="283" t="s">
        <v>121</v>
      </c>
      <c r="P50" s="283"/>
      <c r="Q50" s="283"/>
      <c r="R50" s="284"/>
      <c r="S50" s="284"/>
      <c r="T50" s="284"/>
      <c r="U50" s="285"/>
      <c r="V50" s="285"/>
      <c r="W50" s="286"/>
      <c r="X50" s="710"/>
      <c r="Y50" s="710"/>
      <c r="Z50" s="710"/>
      <c r="AA50" s="710"/>
      <c r="AB50" s="88" t="s">
        <v>23</v>
      </c>
    </row>
    <row r="51" spans="1:28" s="3" customFormat="1" ht="11.25" customHeight="1" x14ac:dyDescent="0.2">
      <c r="A51" s="111">
        <f>IF(N51=0,0,VLOOKUP(N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B51" s="111">
        <f>IF(O51=0,0,VLOOKUP(O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C51" s="111">
        <f>IF(P51=0,0,VLOOKUP(P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D51" s="111">
        <f>IF(Q51=0,0,VLOOKUP(Q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E51" s="111">
        <f>IF(R51=0,0,VLOOKUP(R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F51" s="111">
        <f>IF(S51=0,0,VLOOKUP(S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G51" s="111">
        <f>IF(T51=0,0,VLOOKUP(T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H51" s="111">
        <f>IF(U51=0,0,VLOOKUP(U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I51" s="111">
        <f>IF(V51=0,0,VLOOKUP(V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J51" s="111">
        <f>IF(W51=0,0,VLOOKUP(W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K51" s="705"/>
      <c r="L51" s="708"/>
      <c r="M51" s="52" t="s">
        <v>309</v>
      </c>
      <c r="N51" s="287"/>
      <c r="O51" s="288"/>
      <c r="P51" s="288"/>
      <c r="Q51" s="288"/>
      <c r="R51" s="289"/>
      <c r="S51" s="289"/>
      <c r="T51" s="289"/>
      <c r="U51" s="290"/>
      <c r="V51" s="290"/>
      <c r="W51" s="291"/>
      <c r="X51" s="711"/>
      <c r="Y51" s="711"/>
      <c r="Z51" s="711"/>
      <c r="AA51" s="711"/>
      <c r="AB51" s="88" t="s">
        <v>23</v>
      </c>
    </row>
    <row r="52" spans="1:28" s="3" customFormat="1" ht="11.25" customHeight="1" x14ac:dyDescent="0.2">
      <c r="A52" s="111">
        <f>IF(N52=0,0,VLOOKUP(N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3</v>
      </c>
      <c r="B52" s="111">
        <f>IF(O52=0,0,VLOOKUP(O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C52" s="111">
        <f>IF(P52=0,0,VLOOKUP(P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D52" s="111">
        <f>IF(Q52=0,0,VLOOKUP(Q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E52" s="111">
        <f>IF(R52=0,0,VLOOKUP(R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F52" s="111">
        <f>IF(S52=0,0,VLOOKUP(S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G52" s="111">
        <f>IF(T52=0,0,VLOOKUP(T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H52" s="111">
        <f>IF(U52=0,0,VLOOKUP(U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I52" s="111">
        <f>IF(V52=0,0,VLOOKUP(V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J52" s="111">
        <f>IF(W52=0,0,VLOOKUP(W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K52" s="713" t="s">
        <v>60</v>
      </c>
      <c r="L52" s="706" t="str">
        <f>IF(K52=0,0,VLOOKUP(K52,CBGV!$B$4:$M$68,12,0))</f>
        <v>11A8</v>
      </c>
      <c r="M52" s="54" t="s">
        <v>178</v>
      </c>
      <c r="N52" s="277" t="s">
        <v>142</v>
      </c>
      <c r="O52" s="278" t="s">
        <v>203</v>
      </c>
      <c r="P52" s="278" t="s">
        <v>197</v>
      </c>
      <c r="Q52" s="278"/>
      <c r="R52" s="279"/>
      <c r="S52" s="279"/>
      <c r="T52" s="279"/>
      <c r="U52" s="280"/>
      <c r="V52" s="280"/>
      <c r="W52" s="281"/>
      <c r="X52" s="706">
        <f>IF(K52=0,0,VLOOKUP(K52,CBGV!$B$4:$P$68,14,0))+IF(L52=0,0,VLOOKUP(L52,'T-L-K'!$B$7:$BH$36,2,0))</f>
        <v>5</v>
      </c>
      <c r="Y52" s="716">
        <f>SUM(A52:J54)</f>
        <v>11</v>
      </c>
      <c r="Z52" s="716">
        <f>SUM(A52:J54)+X52</f>
        <v>16</v>
      </c>
      <c r="AA52" s="706">
        <f>IF((Z52-(VLOOKUP(K52,CBGV!$B$4:$P$68,13,0)))&lt;=-14,"/",(Z52-(VLOOKUP(K52,CBGV!$B$4:$P$68,13,0))))</f>
        <v>-1</v>
      </c>
      <c r="AB52" s="88" t="s">
        <v>23</v>
      </c>
    </row>
    <row r="53" spans="1:28" ht="11.25" customHeight="1" x14ac:dyDescent="0.25">
      <c r="A53" s="111">
        <f>IF(N53=0,0,VLOOKUP(N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B53" s="111">
        <f>IF(O53=0,0,VLOOKUP(O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C53" s="111">
        <f>IF(P53=0,0,VLOOKUP(P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D53" s="111">
        <f>IF(Q53=0,0,VLOOKUP(Q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E53" s="111">
        <f>IF(R53=0,0,VLOOKUP(R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F53" s="111">
        <f>IF(S53=0,0,VLOOKUP(S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G53" s="111">
        <f>IF(T53=0,0,VLOOKUP(T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H53" s="111">
        <f>IF(U53=0,0,VLOOKUP(U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I53" s="111">
        <f>IF(V53=0,0,VLOOKUP(V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J53" s="111">
        <f>IF(W53=0,0,VLOOKUP(W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K53" s="714"/>
      <c r="L53" s="707"/>
      <c r="M53" s="55" t="s">
        <v>326</v>
      </c>
      <c r="N53" s="282" t="s">
        <v>142</v>
      </c>
      <c r="O53" s="283" t="s">
        <v>201</v>
      </c>
      <c r="P53" s="283"/>
      <c r="Q53" s="283"/>
      <c r="R53" s="284"/>
      <c r="S53" s="284"/>
      <c r="T53" s="284"/>
      <c r="U53" s="285"/>
      <c r="V53" s="285"/>
      <c r="W53" s="286"/>
      <c r="X53" s="707"/>
      <c r="Y53" s="707"/>
      <c r="Z53" s="707"/>
      <c r="AA53" s="707"/>
      <c r="AB53" s="88" t="s">
        <v>23</v>
      </c>
    </row>
    <row r="54" spans="1:28" ht="11.25" customHeight="1" x14ac:dyDescent="0.25">
      <c r="A54" s="111">
        <f>IF(N54=0,0,VLOOKUP(N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B54" s="111">
        <f>IF(O54=0,0,VLOOKUP(O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C54" s="111">
        <f>IF(P54=0,0,VLOOKUP(P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D54" s="111">
        <f>IF(Q54=0,0,VLOOKUP(Q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E54" s="111">
        <f>IF(R54=0,0,VLOOKUP(R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F54" s="111">
        <f>IF(S54=0,0,VLOOKUP(S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G54" s="111">
        <f>IF(T54=0,0,VLOOKUP(T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H54" s="111">
        <f>IF(U54=0,0,VLOOKUP(U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I54" s="111">
        <f>IF(V54=0,0,VLOOKUP(V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J54" s="111">
        <f>IF(W54=0,0,VLOOKUP(W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K54" s="715"/>
      <c r="L54" s="708"/>
      <c r="M54" s="56" t="s">
        <v>309</v>
      </c>
      <c r="N54" s="287"/>
      <c r="O54" s="288"/>
      <c r="P54" s="288"/>
      <c r="Q54" s="288"/>
      <c r="R54" s="289"/>
      <c r="S54" s="289"/>
      <c r="T54" s="289"/>
      <c r="U54" s="290"/>
      <c r="V54" s="290"/>
      <c r="W54" s="291"/>
      <c r="X54" s="708"/>
      <c r="Y54" s="708"/>
      <c r="Z54" s="708"/>
      <c r="AA54" s="708"/>
      <c r="AB54" s="88" t="s">
        <v>23</v>
      </c>
    </row>
    <row r="55" spans="1:28" ht="11.25" customHeight="1" x14ac:dyDescent="0.25">
      <c r="A55" s="111">
        <f>IF(N55=0,0,VLOOKUP(N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B55" s="111">
        <f>IF(O55=0,0,VLOOKUP(O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C55" s="111">
        <f>IF(P55=0,0,VLOOKUP(P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D55" s="111">
        <f>IF(Q55=0,0,VLOOKUP(Q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E55" s="111">
        <f>IF(R55=0,0,VLOOKUP(R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F55" s="111">
        <f>IF(S55=0,0,VLOOKUP(S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G55" s="111">
        <f>IF(T55=0,0,VLOOKUP(T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H55" s="111">
        <f>IF(U55=0,0,VLOOKUP(U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I55" s="111">
        <f>IF(V55=0,0,VLOOKUP(V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J55" s="111">
        <f>IF(W55=0,0,VLOOKUP(W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K55" s="703" t="s">
        <v>61</v>
      </c>
      <c r="L55" s="706" t="str">
        <f>IF(K55=0,0,VLOOKUP(K55,CBGV!$B$4:$M$68,12,0))</f>
        <v>12A7</v>
      </c>
      <c r="M55" s="57" t="s">
        <v>178</v>
      </c>
      <c r="N55" s="277" t="s">
        <v>27</v>
      </c>
      <c r="O55" s="278" t="s">
        <v>20</v>
      </c>
      <c r="P55" s="278" t="s">
        <v>214</v>
      </c>
      <c r="Q55" s="278"/>
      <c r="R55" s="279"/>
      <c r="S55" s="279"/>
      <c r="T55" s="279"/>
      <c r="U55" s="280"/>
      <c r="V55" s="280"/>
      <c r="W55" s="281"/>
      <c r="X55" s="709">
        <f>IF(K55=0,0,VLOOKUP(K55,CBGV!$B$4:$P$68,14,0))+IF(L55=0,0,VLOOKUP(L55,'T-L-K'!$B$7:$BH$36,2,0))</f>
        <v>5</v>
      </c>
      <c r="Y55" s="712">
        <f>SUM(A55:J57)</f>
        <v>11</v>
      </c>
      <c r="Z55" s="712">
        <f>SUM(A55:J57)+X55</f>
        <v>16</v>
      </c>
      <c r="AA55" s="709">
        <f>IF((Z55-(VLOOKUP(K55,CBGV!$B$4:$P$68,13,0)))&lt;=-14,"/",(Z55-(VLOOKUP(K55,CBGV!$B$4:$P$68,13,0))))</f>
        <v>-1</v>
      </c>
      <c r="AB55" s="88" t="s">
        <v>23</v>
      </c>
    </row>
    <row r="56" spans="1:28" ht="11.25" customHeight="1" x14ac:dyDescent="0.25">
      <c r="A56" s="111">
        <f>IF(N56=0,0,VLOOKUP(N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B56" s="111">
        <f>IF(O56=0,0,VLOOKUP(O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C56" s="111">
        <f>IF(P56=0,0,VLOOKUP(P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D56" s="111">
        <f>IF(Q56=0,0,VLOOKUP(Q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E56" s="111">
        <f>IF(R56=0,0,VLOOKUP(R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F56" s="111">
        <f>IF(S56=0,0,VLOOKUP(S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G56" s="111">
        <f>IF(T56=0,0,VLOOKUP(T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H56" s="111">
        <f>IF(U56=0,0,VLOOKUP(U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I56" s="111">
        <f>IF(V56=0,0,VLOOKUP(V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J56" s="111">
        <f>IF(W56=0,0,VLOOKUP(W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K56" s="704"/>
      <c r="L56" s="707"/>
      <c r="M56" s="51" t="s">
        <v>326</v>
      </c>
      <c r="N56" s="282" t="s">
        <v>20</v>
      </c>
      <c r="O56" s="283" t="s">
        <v>214</v>
      </c>
      <c r="P56" s="283"/>
      <c r="Q56" s="283"/>
      <c r="R56" s="284"/>
      <c r="S56" s="284"/>
      <c r="T56" s="284"/>
      <c r="U56" s="285"/>
      <c r="V56" s="285"/>
      <c r="W56" s="286"/>
      <c r="X56" s="710"/>
      <c r="Y56" s="710"/>
      <c r="Z56" s="710"/>
      <c r="AA56" s="710"/>
      <c r="AB56" s="88" t="s">
        <v>23</v>
      </c>
    </row>
    <row r="57" spans="1:28" ht="11.25" customHeight="1" x14ac:dyDescent="0.25">
      <c r="A57" s="111">
        <f>IF(N57=0,0,VLOOKUP(N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B57" s="111">
        <f>IF(O57=0,0,VLOOKUP(O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C57" s="111">
        <f>IF(P57=0,0,VLOOKUP(P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D57" s="111">
        <f>IF(Q57=0,0,VLOOKUP(Q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E57" s="111">
        <f>IF(R57=0,0,VLOOKUP(R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F57" s="111">
        <f>IF(S57=0,0,VLOOKUP(S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G57" s="111">
        <f>IF(T57=0,0,VLOOKUP(T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H57" s="111">
        <f>IF(U57=0,0,VLOOKUP(U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I57" s="111">
        <f>IF(V57=0,0,VLOOKUP(V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J57" s="111">
        <f>IF(W57=0,0,VLOOKUP(W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K57" s="705"/>
      <c r="L57" s="708"/>
      <c r="M57" s="52" t="s">
        <v>309</v>
      </c>
      <c r="N57" s="287"/>
      <c r="O57" s="288"/>
      <c r="P57" s="288"/>
      <c r="Q57" s="288"/>
      <c r="R57" s="289"/>
      <c r="S57" s="289"/>
      <c r="T57" s="289"/>
      <c r="U57" s="290"/>
      <c r="V57" s="290"/>
      <c r="W57" s="291"/>
      <c r="X57" s="711"/>
      <c r="Y57" s="711"/>
      <c r="Z57" s="711"/>
      <c r="AA57" s="711"/>
      <c r="AB57" s="88" t="s">
        <v>23</v>
      </c>
    </row>
    <row r="58" spans="1:28" ht="11.25" customHeight="1" x14ac:dyDescent="0.25">
      <c r="A58" s="111">
        <f>IF(N58=0,0,VLOOKUP(N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B58" s="111">
        <f>IF(O58=0,0,VLOOKUP(O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C58" s="111">
        <f>IF(P58=0,0,VLOOKUP(P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D58" s="111">
        <f>IF(Q58=0,0,VLOOKUP(Q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E58" s="111">
        <f>IF(R58=0,0,VLOOKUP(R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F58" s="111">
        <f>IF(S58=0,0,VLOOKUP(S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G58" s="111">
        <f>IF(T58=0,0,VLOOKUP(T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H58" s="111">
        <f>IF(U58=0,0,VLOOKUP(U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I58" s="111">
        <f>IF(V58=0,0,VLOOKUP(V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J58" s="111">
        <f>IF(W58=0,0,VLOOKUP(W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K58" s="713" t="s">
        <v>62</v>
      </c>
      <c r="L58" s="706">
        <f>IF(K58=0,0,VLOOKUP(K58,CBGV!$B$4:$M$68,12,0))</f>
        <v>0</v>
      </c>
      <c r="M58" s="54" t="s">
        <v>178</v>
      </c>
      <c r="N58" s="277" t="s">
        <v>213</v>
      </c>
      <c r="O58" s="278" t="s">
        <v>215</v>
      </c>
      <c r="P58" s="278" t="s">
        <v>478</v>
      </c>
      <c r="Q58" s="278"/>
      <c r="R58" s="279"/>
      <c r="S58" s="279"/>
      <c r="T58" s="279"/>
      <c r="U58" s="280"/>
      <c r="V58" s="280"/>
      <c r="W58" s="281"/>
      <c r="X58" s="706">
        <f>IF(K58=0,0,VLOOKUP(K58,CBGV!$B$4:$P$68,14,0))+IF(L58=0,0,VLOOKUP(L58,'T-L-K'!$B$7:$BH$36,2,0))</f>
        <v>0</v>
      </c>
      <c r="Y58" s="716">
        <f>SUM(A58:J60)</f>
        <v>14</v>
      </c>
      <c r="Z58" s="716">
        <f>SUM(A58:J60)+X58</f>
        <v>14</v>
      </c>
      <c r="AA58" s="706">
        <f>IF((Z58-(VLOOKUP(K58,CBGV!$B$4:$P$68,13,0)))&lt;=-14,"/",(Z58-(VLOOKUP(K58,CBGV!$B$4:$P$68,13,0))))</f>
        <v>-3</v>
      </c>
      <c r="AB58" s="88" t="s">
        <v>23</v>
      </c>
    </row>
    <row r="59" spans="1:28" ht="11.25" customHeight="1" x14ac:dyDescent="0.25">
      <c r="A59" s="111">
        <f>IF(N59=0,0,VLOOKUP(N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B59" s="111">
        <f>IF(O59=0,0,VLOOKUP(O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C59" s="111">
        <f>IF(P59=0,0,VLOOKUP(P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D59" s="111">
        <f>IF(Q59=0,0,VLOOKUP(Q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E59" s="111">
        <f>IF(R59=0,0,VLOOKUP(R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F59" s="111">
        <f>IF(S59=0,0,VLOOKUP(S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G59" s="111">
        <f>IF(T59=0,0,VLOOKUP(T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H59" s="111">
        <f>IF(U59=0,0,VLOOKUP(U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I59" s="111">
        <f>IF(V59=0,0,VLOOKUP(V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J59" s="111">
        <f>IF(W59=0,0,VLOOKUP(W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K59" s="714"/>
      <c r="L59" s="707"/>
      <c r="M59" s="55" t="s">
        <v>326</v>
      </c>
      <c r="N59" s="282" t="s">
        <v>213</v>
      </c>
      <c r="O59" s="283" t="s">
        <v>215</v>
      </c>
      <c r="P59" s="283" t="s">
        <v>140</v>
      </c>
      <c r="Q59" s="389" t="s">
        <v>478</v>
      </c>
      <c r="R59" s="284"/>
      <c r="S59" s="284"/>
      <c r="T59" s="284"/>
      <c r="U59" s="285"/>
      <c r="V59" s="285"/>
      <c r="W59" s="286"/>
      <c r="X59" s="707"/>
      <c r="Y59" s="707"/>
      <c r="Z59" s="707"/>
      <c r="AA59" s="707"/>
      <c r="AB59" s="88" t="s">
        <v>23</v>
      </c>
    </row>
    <row r="60" spans="1:28" ht="11.25" customHeight="1" x14ac:dyDescent="0.25">
      <c r="A60" s="111">
        <f>IF(N60=0,0,VLOOKUP(N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B60" s="111">
        <f>IF(O60=0,0,VLOOKUP(O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C60" s="111">
        <f>IF(P60=0,0,VLOOKUP(P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D60" s="111">
        <f>IF(Q60=0,0,VLOOKUP(Q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E60" s="111">
        <f>IF(R60=0,0,VLOOKUP(R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F60" s="111">
        <f>IF(S60=0,0,VLOOKUP(S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G60" s="111">
        <f>IF(T60=0,0,VLOOKUP(T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H60" s="111">
        <f>IF(U60=0,0,VLOOKUP(U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I60" s="111">
        <f>IF(V60=0,0,VLOOKUP(V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J60" s="111">
        <f>IF(W60=0,0,VLOOKUP(W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K60" s="715"/>
      <c r="L60" s="708"/>
      <c r="M60" s="56" t="s">
        <v>309</v>
      </c>
      <c r="N60" s="287"/>
      <c r="O60" s="288"/>
      <c r="P60" s="288"/>
      <c r="Q60" s="288"/>
      <c r="R60" s="289"/>
      <c r="S60" s="289"/>
      <c r="T60" s="289"/>
      <c r="U60" s="290"/>
      <c r="V60" s="290"/>
      <c r="W60" s="291"/>
      <c r="X60" s="708"/>
      <c r="Y60" s="708"/>
      <c r="Z60" s="708"/>
      <c r="AA60" s="708"/>
      <c r="AB60" s="88" t="s">
        <v>23</v>
      </c>
    </row>
    <row r="61" spans="1:28" ht="11.25" customHeight="1" x14ac:dyDescent="0.25">
      <c r="A61" s="111">
        <f>IF(N61=0,0,VLOOKUP(N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B61" s="111">
        <f>IF(O61=0,0,VLOOKUP(O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C61" s="111">
        <f>IF(P61=0,0,VLOOKUP(P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D61" s="111">
        <f>IF(Q61=0,0,VLOOKUP(Q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E61" s="111">
        <f>IF(R61=0,0,VLOOKUP(R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F61" s="111">
        <f>IF(S61=0,0,VLOOKUP(S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G61" s="111">
        <f>IF(T61=0,0,VLOOKUP(T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H61" s="111">
        <f>IF(U61=0,0,VLOOKUP(U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I61" s="111">
        <f>IF(V61=0,0,VLOOKUP(V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J61" s="111">
        <f>IF(W61=0,0,VLOOKUP(W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K61" s="703" t="s">
        <v>63</v>
      </c>
      <c r="L61" s="706">
        <f>IF(K61=0,0,VLOOKUP(K61,CBGV!$B$4:$M$68,12,0))</f>
        <v>0</v>
      </c>
      <c r="M61" s="57" t="s">
        <v>178</v>
      </c>
      <c r="N61" s="277" t="s">
        <v>24</v>
      </c>
      <c r="O61" s="278" t="s">
        <v>202</v>
      </c>
      <c r="P61" s="278" t="s">
        <v>204</v>
      </c>
      <c r="Q61" s="278" t="s">
        <v>198</v>
      </c>
      <c r="R61" s="279"/>
      <c r="S61" s="279"/>
      <c r="T61" s="279"/>
      <c r="U61" s="280"/>
      <c r="V61" s="280"/>
      <c r="W61" s="281"/>
      <c r="X61" s="709">
        <f>IF(K61=0,0,VLOOKUP(K61,CBGV!$B$4:$P$68,14,0))+IF(L61=0,0,VLOOKUP(L61,'T-L-K'!$B$7:$BH$36,2,0))</f>
        <v>1</v>
      </c>
      <c r="Y61" s="712">
        <f>SUM(A61:J63)</f>
        <v>15</v>
      </c>
      <c r="Z61" s="712">
        <f>SUM(A61:J63)+X61</f>
        <v>16</v>
      </c>
      <c r="AA61" s="709">
        <f>IF((Z61-(VLOOKUP(K61,CBGV!$B$4:$P$68,13,0)))&lt;=-14,"/",(Z61-(VLOOKUP(K61,CBGV!$B$4:$P$68,13,0))))</f>
        <v>-1</v>
      </c>
      <c r="AB61" s="88" t="s">
        <v>23</v>
      </c>
    </row>
    <row r="62" spans="1:28" ht="11.25" customHeight="1" x14ac:dyDescent="0.25">
      <c r="A62" s="111">
        <f>IF(N62=0,0,VLOOKUP(N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B62" s="111">
        <f>IF(O62=0,0,VLOOKUP(O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C62" s="111">
        <f>IF(P62=0,0,VLOOKUP(P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D62" s="111">
        <f>IF(Q62=0,0,VLOOKUP(Q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E62" s="111">
        <f>IF(R62=0,0,VLOOKUP(R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F62" s="111">
        <f>IF(S62=0,0,VLOOKUP(S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G62" s="111">
        <f>IF(T62=0,0,VLOOKUP(T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H62" s="111">
        <f>IF(U62=0,0,VLOOKUP(U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I62" s="111">
        <f>IF(V62=0,0,VLOOKUP(V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J62" s="111">
        <f>IF(W62=0,0,VLOOKUP(W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K62" s="704"/>
      <c r="L62" s="707"/>
      <c r="M62" s="51" t="s">
        <v>326</v>
      </c>
      <c r="N62" s="282" t="s">
        <v>138</v>
      </c>
      <c r="O62" s="283" t="s">
        <v>202</v>
      </c>
      <c r="P62" s="283" t="s">
        <v>124</v>
      </c>
      <c r="Q62" s="283"/>
      <c r="R62" s="284"/>
      <c r="S62" s="284"/>
      <c r="T62" s="284"/>
      <c r="U62" s="285"/>
      <c r="V62" s="285"/>
      <c r="W62" s="286"/>
      <c r="X62" s="710"/>
      <c r="Y62" s="710"/>
      <c r="Z62" s="710"/>
      <c r="AA62" s="710"/>
      <c r="AB62" s="88" t="s">
        <v>23</v>
      </c>
    </row>
    <row r="63" spans="1:28" ht="11.25" customHeight="1" x14ac:dyDescent="0.25">
      <c r="A63" s="111">
        <f>IF(N63=0,0,VLOOKUP(N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B63" s="111">
        <f>IF(O63=0,0,VLOOKUP(O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C63" s="111">
        <f>IF(P63=0,0,VLOOKUP(P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D63" s="111">
        <f>IF(Q63=0,0,VLOOKUP(Q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E63" s="111">
        <f>IF(R63=0,0,VLOOKUP(R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F63" s="111">
        <f>IF(S63=0,0,VLOOKUP(S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G63" s="111">
        <f>IF(T63=0,0,VLOOKUP(T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H63" s="111">
        <f>IF(U63=0,0,VLOOKUP(U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I63" s="111">
        <f>IF(V63=0,0,VLOOKUP(V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J63" s="111">
        <f>IF(W63=0,0,VLOOKUP(W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K63" s="705"/>
      <c r="L63" s="708"/>
      <c r="M63" s="52" t="s">
        <v>309</v>
      </c>
      <c r="N63" s="287"/>
      <c r="O63" s="288"/>
      <c r="P63" s="288"/>
      <c r="Q63" s="288"/>
      <c r="R63" s="289"/>
      <c r="S63" s="289"/>
      <c r="T63" s="289"/>
      <c r="U63" s="290"/>
      <c r="V63" s="290"/>
      <c r="W63" s="291"/>
      <c r="X63" s="711"/>
      <c r="Y63" s="711"/>
      <c r="Z63" s="711"/>
      <c r="AA63" s="711"/>
      <c r="AB63" s="88" t="s">
        <v>23</v>
      </c>
    </row>
    <row r="64" spans="1:28" ht="11.25" customHeight="1" x14ac:dyDescent="0.25">
      <c r="A64" s="111">
        <f>IF(N64=0,0,VLOOKUP(N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3</v>
      </c>
      <c r="B64" s="111">
        <f>IF(O64=0,0,VLOOKUP(O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3</v>
      </c>
      <c r="C64" s="111">
        <f>IF(P64=0,0,VLOOKUP(P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D64" s="111">
        <f>IF(Q64=0,0,VLOOKUP(Q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E64" s="111">
        <f>IF(R64=0,0,VLOOKUP(R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F64" s="111">
        <f>IF(S64=0,0,VLOOKUP(S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G64" s="111">
        <f>IF(T64=0,0,VLOOKUP(T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H64" s="111">
        <f>IF(U64=0,0,VLOOKUP(U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I64" s="111">
        <f>IF(V64=0,0,VLOOKUP(V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J64" s="111">
        <f>IF(W64=0,0,VLOOKUP(W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K64" s="713" t="s">
        <v>64</v>
      </c>
      <c r="L64" s="706">
        <f>IF(K64=0,0,VLOOKUP(K64,CBGV!$B$4:$M$68,12,0))</f>
        <v>0</v>
      </c>
      <c r="M64" s="54" t="s">
        <v>26</v>
      </c>
      <c r="N64" s="277" t="s">
        <v>198</v>
      </c>
      <c r="O64" s="278" t="s">
        <v>203</v>
      </c>
      <c r="P64" s="278"/>
      <c r="Q64" s="278"/>
      <c r="R64" s="279"/>
      <c r="S64" s="279"/>
      <c r="T64" s="279"/>
      <c r="U64" s="280"/>
      <c r="V64" s="280"/>
      <c r="W64" s="281"/>
      <c r="X64" s="706">
        <f>IF(K64=0,0,VLOOKUP(K64,CBGV!$B$4:$P$68,14,0))+IF(L64=0,0,VLOOKUP(L64,'T-L-K'!$B$7:$BH$36,2,0))</f>
        <v>13</v>
      </c>
      <c r="Y64" s="716">
        <f>SUM(A64:J66)</f>
        <v>6</v>
      </c>
      <c r="Z64" s="716">
        <f>SUM(A64:J66)+X64</f>
        <v>19</v>
      </c>
      <c r="AA64" s="706">
        <f>IF((Z64-(VLOOKUP(K64,CBGV!$B$4:$P$68,13,0)))&lt;=-14,"/",(Z64-17))</f>
        <v>2</v>
      </c>
      <c r="AB64" s="88" t="s">
        <v>65</v>
      </c>
    </row>
    <row r="65" spans="1:28" ht="11.25" customHeight="1" x14ac:dyDescent="0.25">
      <c r="A65" s="111">
        <f>IF(N65=0,0,VLOOKUP(N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B65" s="111">
        <f>IF(O65=0,0,VLOOKUP(O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C65" s="111">
        <f>IF(P65=0,0,VLOOKUP(P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D65" s="111">
        <f>IF(Q65=0,0,VLOOKUP(Q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E65" s="111">
        <f>IF(R65=0,0,VLOOKUP(R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F65" s="111">
        <f>IF(S65=0,0,VLOOKUP(S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G65" s="111">
        <f>IF(T65=0,0,VLOOKUP(T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H65" s="111">
        <f>IF(U65=0,0,VLOOKUP(U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I65" s="111">
        <f>IF(V65=0,0,VLOOKUP(V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J65" s="111">
        <f>IF(W65=0,0,VLOOKUP(W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K65" s="714"/>
      <c r="L65" s="707"/>
      <c r="M65" s="55" t="s">
        <v>26</v>
      </c>
      <c r="N65" s="282"/>
      <c r="O65" s="283"/>
      <c r="P65" s="283"/>
      <c r="Q65" s="283"/>
      <c r="R65" s="284"/>
      <c r="S65" s="284"/>
      <c r="T65" s="284"/>
      <c r="U65" s="285"/>
      <c r="V65" s="285"/>
      <c r="W65" s="286"/>
      <c r="X65" s="707"/>
      <c r="Y65" s="707"/>
      <c r="Z65" s="707"/>
      <c r="AA65" s="707"/>
      <c r="AB65" s="88" t="s">
        <v>65</v>
      </c>
    </row>
    <row r="66" spans="1:28" ht="11.25" customHeight="1" x14ac:dyDescent="0.25">
      <c r="A66" s="111">
        <f>IF(N66=0,0,VLOOKUP(N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B66" s="111">
        <f>IF(O66=0,0,VLOOKUP(O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C66" s="111">
        <f>IF(P66=0,0,VLOOKUP(P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D66" s="111">
        <f>IF(Q66=0,0,VLOOKUP(Q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E66" s="111">
        <f>IF(R66=0,0,VLOOKUP(R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F66" s="111">
        <f>IF(S66=0,0,VLOOKUP(S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G66" s="111">
        <f>IF(T66=0,0,VLOOKUP(T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H66" s="111">
        <f>IF(U66=0,0,VLOOKUP(U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I66" s="111">
        <f>IF(V66=0,0,VLOOKUP(V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J66" s="111">
        <f>IF(W66=0,0,VLOOKUP(W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K66" s="715"/>
      <c r="L66" s="708"/>
      <c r="M66" s="56" t="s">
        <v>309</v>
      </c>
      <c r="N66" s="287"/>
      <c r="O66" s="288"/>
      <c r="P66" s="288"/>
      <c r="Q66" s="288"/>
      <c r="R66" s="289"/>
      <c r="S66" s="289"/>
      <c r="T66" s="289"/>
      <c r="U66" s="290"/>
      <c r="V66" s="290"/>
      <c r="W66" s="291"/>
      <c r="X66" s="708"/>
      <c r="Y66" s="708"/>
      <c r="Z66" s="708"/>
      <c r="AA66" s="708"/>
      <c r="AB66" s="88" t="s">
        <v>65</v>
      </c>
    </row>
    <row r="67" spans="1:28" ht="11.25" customHeight="1" x14ac:dyDescent="0.25">
      <c r="A67" s="111">
        <f>IF(N67=0,0,VLOOKUP(N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B67" s="111">
        <f>IF(O67=0,0,VLOOKUP(O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C67" s="111">
        <f>IF(P67=0,0,VLOOKUP(P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D67" s="111">
        <f>IF(Q67=0,0,VLOOKUP(Q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E67" s="111">
        <f>IF(R67=0,0,VLOOKUP(R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F67" s="111">
        <f>IF(S67=0,0,VLOOKUP(S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G67" s="111">
        <f>IF(T67=0,0,VLOOKUP(T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H67" s="111">
        <f>IF(U67=0,0,VLOOKUP(U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I67" s="111">
        <f>IF(V67=0,0,VLOOKUP(V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J67" s="111">
        <f>IF(W67=0,0,VLOOKUP(W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K67" s="703" t="s">
        <v>66</v>
      </c>
      <c r="L67" s="706" t="str">
        <f>IF(K67=0,0,VLOOKUP(K67,CBGV!$B$4:$M$68,12,0))</f>
        <v>12A1</v>
      </c>
      <c r="M67" s="57" t="s">
        <v>26</v>
      </c>
      <c r="N67" s="282" t="s">
        <v>305</v>
      </c>
      <c r="O67" s="278"/>
      <c r="P67" s="278"/>
      <c r="Q67" s="278"/>
      <c r="R67" s="279"/>
      <c r="S67" s="279"/>
      <c r="T67" s="279"/>
      <c r="U67" s="280"/>
      <c r="V67" s="280"/>
      <c r="W67" s="281"/>
      <c r="X67" s="709">
        <f>IF(K67=0,0,VLOOKUP(K67,CBGV!$B$4:$P$68,14,0))+IF(L67=0,0,VLOOKUP(L67,'T-L-K'!$B$7:$BH$36,2,0))</f>
        <v>6</v>
      </c>
      <c r="Y67" s="712">
        <f>SUM(A67:J69)</f>
        <v>7</v>
      </c>
      <c r="Z67" s="712">
        <f>SUM(A67:J69)+X67</f>
        <v>13</v>
      </c>
      <c r="AA67" s="709">
        <f>IF((Z67-(VLOOKUP(K67,CBGV!$B$4:$P$68,13,0)))&lt;=-14,"/",(Z67-(VLOOKUP(K67,CBGV!$B$4:$P$68,13,0))))</f>
        <v>-4</v>
      </c>
      <c r="AB67" s="88" t="s">
        <v>65</v>
      </c>
    </row>
    <row r="68" spans="1:28" ht="11.25" customHeight="1" x14ac:dyDescent="0.25">
      <c r="A68" s="111">
        <f>IF(N68=0,0,VLOOKUP(N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B68" s="111">
        <f>IF(O68=0,0,VLOOKUP(O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C68" s="111">
        <f>IF(P68=0,0,VLOOKUP(P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D68" s="111">
        <f>IF(Q68=0,0,VLOOKUP(Q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E68" s="111">
        <f>IF(R68=0,0,VLOOKUP(R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F68" s="111">
        <f>IF(S68=0,0,VLOOKUP(S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G68" s="111">
        <f>IF(T68=0,0,VLOOKUP(T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H68" s="111">
        <f>IF(U68=0,0,VLOOKUP(U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I68" s="111">
        <f>IF(V68=0,0,VLOOKUP(V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J68" s="111">
        <f>IF(W68=0,0,VLOOKUP(W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K68" s="704"/>
      <c r="L68" s="707"/>
      <c r="M68" s="51" t="s">
        <v>26</v>
      </c>
      <c r="N68" s="287" t="s">
        <v>27</v>
      </c>
      <c r="O68" s="287" t="s">
        <v>20</v>
      </c>
      <c r="P68" s="283"/>
      <c r="Q68" s="283"/>
      <c r="R68" s="284"/>
      <c r="S68" s="284"/>
      <c r="T68" s="284"/>
      <c r="U68" s="285"/>
      <c r="V68" s="285"/>
      <c r="W68" s="286"/>
      <c r="X68" s="710"/>
      <c r="Y68" s="710"/>
      <c r="Z68" s="710"/>
      <c r="AA68" s="710"/>
      <c r="AB68" s="88" t="s">
        <v>65</v>
      </c>
    </row>
    <row r="69" spans="1:28" ht="11.25" customHeight="1" x14ac:dyDescent="0.25">
      <c r="A69" s="111">
        <f>IF(N69=0,0,VLOOKUP(N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1</v>
      </c>
      <c r="B69" s="111">
        <f>IF(O69=0,0,VLOOKUP(O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C69" s="111">
        <f>IF(P69=0,0,VLOOKUP(P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D69" s="111">
        <f>IF(Q69=0,0,VLOOKUP(Q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E69" s="111">
        <f>IF(R69=0,0,VLOOKUP(R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F69" s="111">
        <f>IF(S69=0,0,VLOOKUP(S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G69" s="111">
        <f>IF(T69=0,0,VLOOKUP(T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H69" s="111">
        <f>IF(U69=0,0,VLOOKUP(U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I69" s="111">
        <f>IF(V69=0,0,VLOOKUP(V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J69" s="111">
        <f>IF(W69=0,0,VLOOKUP(W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K69" s="705"/>
      <c r="L69" s="708"/>
      <c r="M69" s="52" t="s">
        <v>309</v>
      </c>
      <c r="N69" s="287" t="s">
        <v>27</v>
      </c>
      <c r="O69" s="288"/>
      <c r="P69" s="288"/>
      <c r="Q69" s="288"/>
      <c r="R69" s="289"/>
      <c r="S69" s="289"/>
      <c r="T69" s="289"/>
      <c r="U69" s="290"/>
      <c r="V69" s="290"/>
      <c r="W69" s="291"/>
      <c r="X69" s="711"/>
      <c r="Y69" s="711"/>
      <c r="Z69" s="711"/>
      <c r="AA69" s="711"/>
      <c r="AB69" s="88" t="s">
        <v>65</v>
      </c>
    </row>
    <row r="70" spans="1:28" ht="11.25" customHeight="1" x14ac:dyDescent="0.25">
      <c r="A70" s="111">
        <f>IF(N70=0,0,VLOOKUP(N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B70" s="111">
        <f>IF(O70=0,0,VLOOKUP(O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C70" s="111">
        <f>IF(P70=0,0,VLOOKUP(P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D70" s="111">
        <f>IF(Q70=0,0,VLOOKUP(Q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E70" s="111">
        <f>IF(R70=0,0,VLOOKUP(R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F70" s="111">
        <f>IF(S70=0,0,VLOOKUP(S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G70" s="111">
        <f>IF(T70=0,0,VLOOKUP(T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H70" s="111">
        <f>IF(U70=0,0,VLOOKUP(U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I70" s="111">
        <f>IF(V70=0,0,VLOOKUP(V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J70" s="111">
        <f>IF(W70=0,0,VLOOKUP(W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K70" s="713" t="s">
        <v>67</v>
      </c>
      <c r="L70" s="706" t="str">
        <f>IF(K70=0,0,VLOOKUP(K70,CBGV!$B$4:$M$68,12,0))</f>
        <v>11A5</v>
      </c>
      <c r="M70" s="54" t="s">
        <v>26</v>
      </c>
      <c r="N70" s="277" t="s">
        <v>31</v>
      </c>
      <c r="O70" s="388" t="s">
        <v>197</v>
      </c>
      <c r="P70" s="278"/>
      <c r="Q70" s="278"/>
      <c r="R70" s="279"/>
      <c r="S70" s="279"/>
      <c r="T70" s="279"/>
      <c r="U70" s="280"/>
      <c r="V70" s="280"/>
      <c r="W70" s="281"/>
      <c r="X70" s="706">
        <f>IF(K70=0,0,VLOOKUP(K70,CBGV!$B$4:$P$68,14,0))+IF(L70=0,0,VLOOKUP(L70,'T-L-K'!$B$7:$BH$36,2,0))</f>
        <v>5</v>
      </c>
      <c r="Y70" s="716">
        <f>SUM(A70:J72)</f>
        <v>13</v>
      </c>
      <c r="Z70" s="716">
        <f>SUM(A70:J72)+X70</f>
        <v>18</v>
      </c>
      <c r="AA70" s="706">
        <f>IF((Z70-(VLOOKUP(K70,CBGV!$B$4:$P$68,13,0)))&lt;=-14,"/",(Z70-(VLOOKUP(K70,CBGV!$B$4:$P$68,13,0))))</f>
        <v>1</v>
      </c>
      <c r="AB70" s="88" t="s">
        <v>65</v>
      </c>
    </row>
    <row r="71" spans="1:28" ht="11.25" customHeight="1" x14ac:dyDescent="0.25">
      <c r="A71" s="111">
        <f>IF(N71=0,0,VLOOKUP(N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B71" s="111">
        <f>IF(O71=0,0,VLOOKUP(O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C71" s="111">
        <f>IF(P71=0,0,VLOOKUP(P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D71" s="111">
        <f>IF(Q71=0,0,VLOOKUP(Q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E71" s="111">
        <f>IF(R71=0,0,VLOOKUP(R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F71" s="111">
        <f>IF(S71=0,0,VLOOKUP(S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G71" s="111">
        <f>IF(T71=0,0,VLOOKUP(T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H71" s="111">
        <f>IF(U71=0,0,VLOOKUP(U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I71" s="111">
        <f>IF(V71=0,0,VLOOKUP(V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J71" s="111">
        <f>IF(W71=0,0,VLOOKUP(W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K71" s="714"/>
      <c r="L71" s="707"/>
      <c r="M71" s="55" t="s">
        <v>26</v>
      </c>
      <c r="N71" s="282" t="s">
        <v>138</v>
      </c>
      <c r="O71" s="283" t="s">
        <v>201</v>
      </c>
      <c r="P71" s="283"/>
      <c r="Q71" s="283"/>
      <c r="R71" s="284"/>
      <c r="S71" s="284"/>
      <c r="T71" s="284"/>
      <c r="U71" s="285"/>
      <c r="V71" s="285"/>
      <c r="W71" s="286"/>
      <c r="X71" s="707"/>
      <c r="Y71" s="707"/>
      <c r="Z71" s="707"/>
      <c r="AA71" s="707"/>
      <c r="AB71" s="88" t="s">
        <v>65</v>
      </c>
    </row>
    <row r="72" spans="1:28" ht="11.25" customHeight="1" x14ac:dyDescent="0.25">
      <c r="A72" s="111">
        <f>IF(N72=0,0,VLOOKUP(N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1</v>
      </c>
      <c r="B72" s="111">
        <f>IF(O72=0,0,VLOOKUP(O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C72" s="111">
        <f>IF(P72=0,0,VLOOKUP(P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D72" s="111">
        <f>IF(Q72=0,0,VLOOKUP(Q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E72" s="111">
        <f>IF(R72=0,0,VLOOKUP(R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F72" s="111">
        <f>IF(S72=0,0,VLOOKUP(S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G72" s="111">
        <f>IF(T72=0,0,VLOOKUP(T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H72" s="111">
        <f>IF(U72=0,0,VLOOKUP(U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I72" s="111">
        <f>IF(V72=0,0,VLOOKUP(V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J72" s="111">
        <f>IF(W72=0,0,VLOOKUP(W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K72" s="715"/>
      <c r="L72" s="708"/>
      <c r="M72" s="56" t="s">
        <v>309</v>
      </c>
      <c r="N72" s="282" t="s">
        <v>138</v>
      </c>
      <c r="O72" s="288"/>
      <c r="P72" s="288"/>
      <c r="Q72" s="288"/>
      <c r="R72" s="289"/>
      <c r="S72" s="289"/>
      <c r="T72" s="289"/>
      <c r="U72" s="290"/>
      <c r="V72" s="290"/>
      <c r="W72" s="291"/>
      <c r="X72" s="708"/>
      <c r="Y72" s="708"/>
      <c r="Z72" s="708"/>
      <c r="AA72" s="708"/>
      <c r="AB72" s="88" t="s">
        <v>65</v>
      </c>
    </row>
    <row r="73" spans="1:28" ht="11.25" customHeight="1" x14ac:dyDescent="0.25">
      <c r="A73" s="111">
        <f>IF(N73=0,0,VLOOKUP(N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B73" s="111">
        <f>IF(O73=0,0,VLOOKUP(O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C73" s="111">
        <f>IF(P73=0,0,VLOOKUP(P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D73" s="111">
        <f>IF(Q73=0,0,VLOOKUP(Q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E73" s="111">
        <f>IF(R73=0,0,VLOOKUP(R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F73" s="111">
        <f>IF(S73=0,0,VLOOKUP(S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G73" s="111">
        <f>IF(T73=0,0,VLOOKUP(T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H73" s="111">
        <f>IF(U73=0,0,VLOOKUP(U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I73" s="111">
        <f>IF(V73=0,0,VLOOKUP(V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J73" s="111">
        <f>IF(W73=0,0,VLOOKUP(W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K73" s="703" t="s">
        <v>68</v>
      </c>
      <c r="L73" s="706" t="str">
        <f>IF(K73=0,0,VLOOKUP(K73,CBGV!$B$4:$M$68,12,0))</f>
        <v>10A6</v>
      </c>
      <c r="M73" s="57" t="s">
        <v>26</v>
      </c>
      <c r="N73" s="277" t="s">
        <v>196</v>
      </c>
      <c r="O73" s="278" t="s">
        <v>204</v>
      </c>
      <c r="P73" s="278"/>
      <c r="Q73" s="278"/>
      <c r="R73" s="279"/>
      <c r="S73" s="279"/>
      <c r="T73" s="279"/>
      <c r="U73" s="280"/>
      <c r="V73" s="280"/>
      <c r="W73" s="281"/>
      <c r="X73" s="709">
        <f>IF(K73=0,0,VLOOKUP(K73,CBGV!$B$4:$P$68,14,0))+IF(L73=0,0,VLOOKUP(L73,'T-L-K'!$B$7:$BH$36,2,0))</f>
        <v>6</v>
      </c>
      <c r="Y73" s="712">
        <f>SUM(A73:J75)</f>
        <v>10</v>
      </c>
      <c r="Z73" s="712">
        <f>SUM(A73:J75)+X73</f>
        <v>16</v>
      </c>
      <c r="AA73" s="709">
        <f>IF((Z73-(VLOOKUP(K73,CBGV!$B$4:$P$68,13,0)))&lt;=-14,"/",(Z73-(VLOOKUP(K73,CBGV!$B$4:$P$68,13,0))))</f>
        <v>-1</v>
      </c>
      <c r="AB73" s="88" t="s">
        <v>65</v>
      </c>
    </row>
    <row r="74" spans="1:28" ht="11.25" customHeight="1" x14ac:dyDescent="0.25">
      <c r="A74" s="111">
        <f>IF(N74=0,0,VLOOKUP(N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B74" s="111">
        <f>IF(O74=0,0,VLOOKUP(O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C74" s="111">
        <f>IF(P74=0,0,VLOOKUP(P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D74" s="111">
        <f>IF(Q74=0,0,VLOOKUP(Q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E74" s="111">
        <f>IF(R74=0,0,VLOOKUP(R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F74" s="111">
        <f>IF(S74=0,0,VLOOKUP(S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G74" s="111">
        <f>IF(T74=0,0,VLOOKUP(T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H74" s="111">
        <f>IF(U74=0,0,VLOOKUP(U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I74" s="111">
        <f>IF(V74=0,0,VLOOKUP(V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J74" s="111">
        <f>IF(W74=0,0,VLOOKUP(W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K74" s="704"/>
      <c r="L74" s="707"/>
      <c r="M74" s="51" t="s">
        <v>26</v>
      </c>
      <c r="N74" s="282" t="s">
        <v>140</v>
      </c>
      <c r="O74" s="283"/>
      <c r="P74" s="283"/>
      <c r="Q74" s="283"/>
      <c r="R74" s="284"/>
      <c r="S74" s="284"/>
      <c r="T74" s="284"/>
      <c r="U74" s="285"/>
      <c r="V74" s="285"/>
      <c r="W74" s="286"/>
      <c r="X74" s="710"/>
      <c r="Y74" s="710"/>
      <c r="Z74" s="710"/>
      <c r="AA74" s="710"/>
      <c r="AB74" s="88" t="s">
        <v>65</v>
      </c>
    </row>
    <row r="75" spans="1:28" ht="11.25" customHeight="1" x14ac:dyDescent="0.25">
      <c r="A75" s="111">
        <f>IF(N75=0,0,VLOOKUP(N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1</v>
      </c>
      <c r="B75" s="111">
        <f>IF(O75=0,0,VLOOKUP(O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C75" s="111">
        <f>IF(P75=0,0,VLOOKUP(P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D75" s="111">
        <f>IF(Q75=0,0,VLOOKUP(Q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E75" s="111">
        <f>IF(R75=0,0,VLOOKUP(R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F75" s="111">
        <f>IF(S75=0,0,VLOOKUP(S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G75" s="111">
        <f>IF(T75=0,0,VLOOKUP(T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H75" s="111">
        <f>IF(U75=0,0,VLOOKUP(U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I75" s="111">
        <f>IF(V75=0,0,VLOOKUP(V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J75" s="111">
        <f>IF(W75=0,0,VLOOKUP(W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K75" s="705"/>
      <c r="L75" s="708"/>
      <c r="M75" s="52" t="s">
        <v>309</v>
      </c>
      <c r="N75" s="277" t="s">
        <v>196</v>
      </c>
      <c r="O75" s="288"/>
      <c r="P75" s="288"/>
      <c r="Q75" s="288"/>
      <c r="R75" s="289"/>
      <c r="S75" s="289"/>
      <c r="T75" s="289"/>
      <c r="U75" s="290"/>
      <c r="V75" s="290"/>
      <c r="W75" s="291"/>
      <c r="X75" s="711"/>
      <c r="Y75" s="711"/>
      <c r="Z75" s="711"/>
      <c r="AA75" s="711"/>
      <c r="AB75" s="88" t="s">
        <v>65</v>
      </c>
    </row>
    <row r="76" spans="1:28" ht="11.25" customHeight="1" x14ac:dyDescent="0.25">
      <c r="A76" s="111">
        <f>IF(N76=0,0,VLOOKUP(N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B76" s="111">
        <f>IF(O76=0,0,VLOOKUP(O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C76" s="111">
        <f>IF(P76=0,0,VLOOKUP(P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D76" s="111">
        <f>IF(Q76=0,0,VLOOKUP(Q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E76" s="111">
        <f>IF(R76=0,0,VLOOKUP(R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F76" s="111">
        <f>IF(S76=0,0,VLOOKUP(S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G76" s="111">
        <f>IF(T76=0,0,VLOOKUP(T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H76" s="111">
        <f>IF(U76=0,0,VLOOKUP(U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I76" s="111">
        <f>IF(V76=0,0,VLOOKUP(V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J76" s="111">
        <f>IF(W76=0,0,VLOOKUP(W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K76" s="713" t="s">
        <v>69</v>
      </c>
      <c r="L76" s="706" t="str">
        <f>IF(K76=0,0,VLOOKUP(K76,CBGV!$B$4:$M$68,12,0))</f>
        <v>12A5</v>
      </c>
      <c r="M76" s="54" t="s">
        <v>26</v>
      </c>
      <c r="N76" s="277" t="s">
        <v>202</v>
      </c>
      <c r="O76" s="388" t="s">
        <v>116</v>
      </c>
      <c r="P76" s="278"/>
      <c r="Q76" s="278"/>
      <c r="R76" s="279"/>
      <c r="S76" s="279"/>
      <c r="T76" s="279"/>
      <c r="U76" s="280"/>
      <c r="V76" s="280"/>
      <c r="W76" s="281"/>
      <c r="X76" s="706">
        <f>IF(K76=0,0,VLOOKUP(K76,CBGV!$B$4:$P$68,14,0))+IF(L76=0,0,VLOOKUP(L76,'T-L-K'!$B$7:$BH$36,2,0))</f>
        <v>5</v>
      </c>
      <c r="Y76" s="716">
        <f>SUM(A76:J78)</f>
        <v>13</v>
      </c>
      <c r="Z76" s="716">
        <f>SUM(A76:J78)+X76</f>
        <v>18</v>
      </c>
      <c r="AA76" s="706">
        <f>IF((Z76-(VLOOKUP(K76,CBGV!$B$4:$P$68,13,0)))&lt;=-14,"/",(Z76-(VLOOKUP(K76,CBGV!$B$4:$P$68,13,0))))</f>
        <v>1</v>
      </c>
      <c r="AB76" s="88" t="s">
        <v>65</v>
      </c>
    </row>
    <row r="77" spans="1:28" ht="11.25" customHeight="1" x14ac:dyDescent="0.25">
      <c r="A77" s="111">
        <f>IF(N77=0,0,VLOOKUP(N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3</v>
      </c>
      <c r="B77" s="111">
        <f>IF(O77=0,0,VLOOKUP(O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3</v>
      </c>
      <c r="C77" s="111">
        <f>IF(P77=0,0,VLOOKUP(P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D77" s="111">
        <f>IF(Q77=0,0,VLOOKUP(Q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E77" s="111">
        <f>IF(R77=0,0,VLOOKUP(R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F77" s="111">
        <f>IF(S77=0,0,VLOOKUP(S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G77" s="111">
        <f>IF(T77=0,0,VLOOKUP(T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H77" s="111">
        <f>IF(U77=0,0,VLOOKUP(U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I77" s="111">
        <f>IF(V77=0,0,VLOOKUP(V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J77" s="111">
        <f>IF(W77=0,0,VLOOKUP(W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K77" s="714"/>
      <c r="L77" s="707"/>
      <c r="M77" s="55" t="s">
        <v>26</v>
      </c>
      <c r="N77" s="282" t="s">
        <v>30</v>
      </c>
      <c r="O77" s="283" t="s">
        <v>173</v>
      </c>
      <c r="P77" s="283"/>
      <c r="Q77" s="283"/>
      <c r="R77" s="284"/>
      <c r="S77" s="284"/>
      <c r="T77" s="284"/>
      <c r="U77" s="285"/>
      <c r="V77" s="285"/>
      <c r="W77" s="286"/>
      <c r="X77" s="707"/>
      <c r="Y77" s="707"/>
      <c r="Z77" s="707"/>
      <c r="AA77" s="707"/>
      <c r="AB77" s="88" t="s">
        <v>65</v>
      </c>
    </row>
    <row r="78" spans="1:28" ht="11.25" customHeight="1" x14ac:dyDescent="0.25">
      <c r="A78" s="111">
        <f>IF(N78=0,0,VLOOKUP(N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1</v>
      </c>
      <c r="B78" s="111">
        <f>IF(O78=0,0,VLOOKUP(O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C78" s="111">
        <f>IF(P78=0,0,VLOOKUP(P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D78" s="111">
        <f>IF(Q78=0,0,VLOOKUP(Q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E78" s="111">
        <f>IF(R78=0,0,VLOOKUP(R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F78" s="111">
        <f>IF(S78=0,0,VLOOKUP(S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G78" s="111">
        <f>IF(T78=0,0,VLOOKUP(T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H78" s="111">
        <f>IF(U78=0,0,VLOOKUP(U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I78" s="111">
        <f>IF(V78=0,0,VLOOKUP(V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J78" s="111">
        <f>IF(W78=0,0,VLOOKUP(W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K78" s="715"/>
      <c r="L78" s="708"/>
      <c r="M78" s="56" t="s">
        <v>309</v>
      </c>
      <c r="N78" s="287" t="s">
        <v>173</v>
      </c>
      <c r="O78" s="288"/>
      <c r="P78" s="288"/>
      <c r="Q78" s="288"/>
      <c r="R78" s="289"/>
      <c r="S78" s="289"/>
      <c r="T78" s="289"/>
      <c r="U78" s="290"/>
      <c r="V78" s="290"/>
      <c r="W78" s="291"/>
      <c r="X78" s="708"/>
      <c r="Y78" s="708"/>
      <c r="Z78" s="708"/>
      <c r="AA78" s="708"/>
      <c r="AB78" s="88" t="s">
        <v>65</v>
      </c>
    </row>
    <row r="79" spans="1:28" ht="11.25" customHeight="1" x14ac:dyDescent="0.25">
      <c r="A79" s="111">
        <f>IF(N79=0,0,VLOOKUP(N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B79" s="111">
        <f>IF(O79=0,0,VLOOKUP(O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C79" s="111">
        <f>IF(P79=0,0,VLOOKUP(P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D79" s="111">
        <f>IF(Q79=0,0,VLOOKUP(Q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E79" s="111">
        <f>IF(R79=0,0,VLOOKUP(R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F79" s="111">
        <f>IF(S79=0,0,VLOOKUP(S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G79" s="111">
        <f>IF(T79=0,0,VLOOKUP(T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H79" s="111">
        <f>IF(U79=0,0,VLOOKUP(U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I79" s="111">
        <f>IF(V79=0,0,VLOOKUP(V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J79" s="111">
        <f>IF(W79=0,0,VLOOKUP(W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K79" s="703" t="s">
        <v>70</v>
      </c>
      <c r="L79" s="706">
        <f>IF(K79=0,0,VLOOKUP(K79,CBGV!$B$4:$M$68,12,0))</f>
        <v>0</v>
      </c>
      <c r="M79" s="57" t="s">
        <v>179</v>
      </c>
      <c r="N79" s="277" t="s">
        <v>198</v>
      </c>
      <c r="O79" s="278"/>
      <c r="P79" s="278"/>
      <c r="Q79" s="278"/>
      <c r="R79" s="279"/>
      <c r="S79" s="279"/>
      <c r="T79" s="279"/>
      <c r="U79" s="280"/>
      <c r="V79" s="280"/>
      <c r="W79" s="281"/>
      <c r="X79" s="709">
        <f>IF(K79=0,0,VLOOKUP(K79,CBGV!$B$4:$P$68,14,0))+IF(L79=0,0,VLOOKUP(L79,'T-L-K'!$B$7:$BH$36,2,0))</f>
        <v>15</v>
      </c>
      <c r="Y79" s="712">
        <f>SUM(A79:J81)</f>
        <v>3</v>
      </c>
      <c r="Z79" s="712">
        <f>SUM(A79:J81)+X79</f>
        <v>18</v>
      </c>
      <c r="AA79" s="709">
        <f>IF((Z79-(VLOOKUP(K79,CBGV!$B$4:$P$68,13,0)))&lt;=-14,"/",(Z79-17))</f>
        <v>1</v>
      </c>
      <c r="AB79" s="88" t="s">
        <v>71</v>
      </c>
    </row>
    <row r="80" spans="1:28" ht="11.25" customHeight="1" x14ac:dyDescent="0.25">
      <c r="A80" s="111">
        <f>IF(N80=0,0,VLOOKUP(N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B80" s="111">
        <f>IF(O80=0,0,VLOOKUP(O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C80" s="111">
        <f>IF(P80=0,0,VLOOKUP(P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D80" s="111">
        <f>IF(Q80=0,0,VLOOKUP(Q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E80" s="111">
        <f>IF(R80=0,0,VLOOKUP(R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F80" s="111">
        <f>IF(S80=0,0,VLOOKUP(S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G80" s="111">
        <f>IF(T80=0,0,VLOOKUP(T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H80" s="111">
        <f>IF(U80=0,0,VLOOKUP(U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I80" s="111">
        <f>IF(V80=0,0,VLOOKUP(V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J80" s="111">
        <f>IF(W80=0,0,VLOOKUP(W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K80" s="704"/>
      <c r="L80" s="707"/>
      <c r="M80" s="51" t="s">
        <v>311</v>
      </c>
      <c r="N80" s="282"/>
      <c r="O80" s="283"/>
      <c r="P80" s="283"/>
      <c r="Q80" s="283"/>
      <c r="R80" s="284"/>
      <c r="S80" s="284"/>
      <c r="T80" s="284"/>
      <c r="U80" s="285"/>
      <c r="V80" s="285"/>
      <c r="W80" s="286"/>
      <c r="X80" s="710"/>
      <c r="Y80" s="710"/>
      <c r="Z80" s="710"/>
      <c r="AA80" s="710"/>
      <c r="AB80" s="88" t="s">
        <v>71</v>
      </c>
    </row>
    <row r="81" spans="1:29" ht="11.25" customHeight="1" x14ac:dyDescent="0.25">
      <c r="A81" s="111">
        <f>IF(N81=0,0,VLOOKUP(N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B81" s="111">
        <f>IF(O81=0,0,VLOOKUP(O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C81" s="111">
        <f>IF(P81=0,0,VLOOKUP(P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D81" s="111">
        <f>IF(Q81=0,0,VLOOKUP(Q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E81" s="111">
        <f>IF(R81=0,0,VLOOKUP(R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F81" s="111">
        <f>IF(S81=0,0,VLOOKUP(S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G81" s="111">
        <f>IF(T81=0,0,VLOOKUP(T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H81" s="111">
        <f>IF(U81=0,0,VLOOKUP(U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I81" s="111">
        <f>IF(V81=0,0,VLOOKUP(V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J81" s="111">
        <f>IF(W81=0,0,VLOOKUP(W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K81" s="705"/>
      <c r="L81" s="708"/>
      <c r="M81" s="52" t="s">
        <v>309</v>
      </c>
      <c r="N81" s="287"/>
      <c r="O81" s="288"/>
      <c r="P81" s="288"/>
      <c r="Q81" s="288"/>
      <c r="R81" s="289"/>
      <c r="S81" s="289"/>
      <c r="T81" s="289"/>
      <c r="U81" s="290"/>
      <c r="V81" s="290"/>
      <c r="W81" s="291"/>
      <c r="X81" s="711"/>
      <c r="Y81" s="711"/>
      <c r="Z81" s="711"/>
      <c r="AA81" s="711"/>
      <c r="AB81" s="88" t="s">
        <v>71</v>
      </c>
    </row>
    <row r="82" spans="1:29" ht="11.25" customHeight="1" x14ac:dyDescent="0.25">
      <c r="A82" s="111">
        <f>IF(N82=0,0,VLOOKUP(N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B82" s="111">
        <f>IF(O82=0,0,VLOOKUP(O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C82" s="111">
        <f>IF(P82=0,0,VLOOKUP(P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D82" s="111">
        <f>IF(Q82=0,0,VLOOKUP(Q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E82" s="111">
        <f>IF(R82=0,0,VLOOKUP(R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F82" s="111">
        <f>IF(S82=0,0,VLOOKUP(S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G82" s="111">
        <f>IF(T82=0,0,VLOOKUP(T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H82" s="111">
        <f>IF(U82=0,0,VLOOKUP(U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I82" s="111">
        <f>IF(V82=0,0,VLOOKUP(V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J82" s="111">
        <f>IF(W82=0,0,VLOOKUP(W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K82" s="713" t="s">
        <v>72</v>
      </c>
      <c r="L82" s="706">
        <f>IF(K82=0,0,VLOOKUP(K82,CBGV!$B$4:$M$68,12,0))</f>
        <v>0</v>
      </c>
      <c r="M82" s="54" t="s">
        <v>179</v>
      </c>
      <c r="N82" s="277" t="s">
        <v>198</v>
      </c>
      <c r="O82" s="278" t="s">
        <v>200</v>
      </c>
      <c r="P82" s="277" t="s">
        <v>30</v>
      </c>
      <c r="Q82" s="278" t="s">
        <v>197</v>
      </c>
      <c r="R82" s="284" t="s">
        <v>196</v>
      </c>
      <c r="S82" s="284" t="s">
        <v>512</v>
      </c>
      <c r="T82" s="279"/>
      <c r="U82" s="279"/>
      <c r="V82" s="279"/>
      <c r="W82" s="281"/>
      <c r="X82" s="706">
        <f>IF(K82=0,0,VLOOKUP(K82,CBGV!$B$4:$P$68,14,0))+IF(L82=0,0,VLOOKUP(L82,'T-L-K'!$B$7:$BH$36,2,0))</f>
        <v>4</v>
      </c>
      <c r="Y82" s="716">
        <f>SUM(A82:J84)</f>
        <v>24</v>
      </c>
      <c r="Z82" s="716">
        <f>SUM(A82:J84)+X82</f>
        <v>28</v>
      </c>
      <c r="AA82" s="706">
        <f>IF((Z82-(VLOOKUP(K82,CBGV!$B$4:$P$68,13,0)))&lt;=-14,"/",(Z82-(VLOOKUP(K82,CBGV!$B$4:$P$68,13,0))))</f>
        <v>11</v>
      </c>
      <c r="AB82" s="88" t="s">
        <v>71</v>
      </c>
    </row>
    <row r="83" spans="1:29" ht="11.25" customHeight="1" x14ac:dyDescent="0.25">
      <c r="A83" s="111">
        <f>IF(N83=0,0,VLOOKUP(N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B83" s="111">
        <f>IF(O83=0,0,VLOOKUP(O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C83" s="111">
        <f>IF(P83=0,0,VLOOKUP(P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D83" s="111">
        <f>IF(Q83=0,0,VLOOKUP(Q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E83" s="111">
        <f>IF(R83=0,0,VLOOKUP(R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F83" s="111">
        <f>IF(S83=0,0,VLOOKUP(S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G83" s="111">
        <f>IF(T83=0,0,VLOOKUP(T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H83" s="111">
        <f>IF(U83=0,0,VLOOKUP(U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I83" s="111">
        <f>IF(V83=0,0,VLOOKUP(V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J83" s="111">
        <f>IF(W83=0,0,VLOOKUP(W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K83" s="714"/>
      <c r="L83" s="707"/>
      <c r="M83" s="55" t="s">
        <v>311</v>
      </c>
      <c r="N83" s="282" t="s">
        <v>27</v>
      </c>
      <c r="O83" s="283" t="s">
        <v>30</v>
      </c>
      <c r="P83" s="282" t="s">
        <v>116</v>
      </c>
      <c r="Q83" s="283" t="s">
        <v>196</v>
      </c>
      <c r="R83" s="284" t="s">
        <v>197</v>
      </c>
      <c r="S83" s="284" t="s">
        <v>198</v>
      </c>
      <c r="T83" s="284" t="s">
        <v>18</v>
      </c>
      <c r="U83" s="284" t="s">
        <v>24</v>
      </c>
      <c r="V83" s="284" t="s">
        <v>142</v>
      </c>
      <c r="W83" s="286"/>
      <c r="X83" s="707"/>
      <c r="Y83" s="707"/>
      <c r="Z83" s="707"/>
      <c r="AA83" s="707"/>
      <c r="AB83" s="88" t="s">
        <v>71</v>
      </c>
    </row>
    <row r="84" spans="1:29" ht="11.25" customHeight="1" x14ac:dyDescent="0.25">
      <c r="A84" s="111">
        <f>IF(N84=0,0,VLOOKUP(N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B84" s="111">
        <f>IF(O84=0,0,VLOOKUP(O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C84" s="111">
        <f>IF(P84=0,0,VLOOKUP(P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D84" s="111">
        <f>IF(Q84=0,0,VLOOKUP(Q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E84" s="111">
        <f>IF(R84=0,0,VLOOKUP(R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F84" s="111">
        <f>IF(S84=0,0,VLOOKUP(S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G84" s="111">
        <f>IF(T84=0,0,VLOOKUP(T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H84" s="111">
        <f>IF(U84=0,0,VLOOKUP(U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I84" s="111">
        <f>IF(V84=0,0,VLOOKUP(V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J84" s="111">
        <f>IF(W84=0,0,VLOOKUP(W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K84" s="715"/>
      <c r="L84" s="708"/>
      <c r="M84" s="56" t="s">
        <v>310</v>
      </c>
      <c r="N84" s="287" t="s">
        <v>116</v>
      </c>
      <c r="O84" s="288" t="s">
        <v>204</v>
      </c>
      <c r="P84" s="287" t="s">
        <v>31</v>
      </c>
      <c r="Q84" s="288"/>
      <c r="R84" s="284"/>
      <c r="S84" s="284"/>
      <c r="T84" s="289"/>
      <c r="U84" s="289"/>
      <c r="V84" s="289"/>
      <c r="W84" s="291"/>
      <c r="X84" s="708"/>
      <c r="Y84" s="708"/>
      <c r="Z84" s="708"/>
      <c r="AA84" s="708"/>
      <c r="AB84" s="88" t="s">
        <v>71</v>
      </c>
    </row>
    <row r="85" spans="1:29" ht="11.25" customHeight="1" x14ac:dyDescent="0.25">
      <c r="A85" s="111">
        <f>IF(N85=0,0,VLOOKUP(N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B85" s="111">
        <f>IF(O85=0,0,VLOOKUP(O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C85" s="111">
        <f>IF(P85=0,0,VLOOKUP(P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D85" s="111">
        <f>IF(Q85=0,0,VLOOKUP(Q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E85" s="111">
        <f>IF(R85=0,0,VLOOKUP(R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F85" s="111">
        <f>IF(S85=0,0,VLOOKUP(S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G85" s="111">
        <f>IF(T85=0,0,VLOOKUP(T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H85" s="111">
        <f>IF(U85=0,0,VLOOKUP(U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I85" s="111">
        <f>IF(V85=0,0,VLOOKUP(V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J85" s="111">
        <f>IF(W85=0,0,VLOOKUP(W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K85" s="703" t="s">
        <v>73</v>
      </c>
      <c r="L85" s="706" t="str">
        <f>IF(K85=0,0,VLOOKUP(K85,CBGV!$B$4:$M$68,12,0))</f>
        <v>11A7</v>
      </c>
      <c r="M85" s="57" t="s">
        <v>179</v>
      </c>
      <c r="N85" s="277" t="s">
        <v>142</v>
      </c>
      <c r="O85" s="278" t="s">
        <v>27</v>
      </c>
      <c r="P85" s="278" t="s">
        <v>20</v>
      </c>
      <c r="Q85" s="278"/>
      <c r="R85" s="279"/>
      <c r="S85" s="279"/>
      <c r="T85" s="279"/>
      <c r="U85" s="280"/>
      <c r="V85" s="280"/>
      <c r="W85" s="281"/>
      <c r="X85" s="709">
        <f>IF(K85=0,0,VLOOKUP(K85,CBGV!$B$4:$P$68,14,0))+IF(L85=0,0,VLOOKUP(L85,'T-L-K'!$B$7:$BH$36,2,0))</f>
        <v>5</v>
      </c>
      <c r="Y85" s="712">
        <f>SUM(A85:J87)</f>
        <v>17</v>
      </c>
      <c r="Z85" s="712">
        <f>SUM(A85:J87)+X85</f>
        <v>22</v>
      </c>
      <c r="AA85" s="709">
        <f>IF((Z85-(VLOOKUP(K85,CBGV!$B$4:$P$68,13,0)))&lt;=-14,"/",(Z85-(VLOOKUP(K85,CBGV!$B$4:$P$68,13,0))))</f>
        <v>5</v>
      </c>
      <c r="AB85" s="88" t="s">
        <v>71</v>
      </c>
    </row>
    <row r="86" spans="1:29" ht="11.25" customHeight="1" x14ac:dyDescent="0.25">
      <c r="A86" s="111">
        <f>IF(N86=0,0,VLOOKUP(N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B86" s="111">
        <f>IF(O86=0,0,VLOOKUP(O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C86" s="111">
        <f>IF(P86=0,0,VLOOKUP(P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D86" s="111">
        <f>IF(Q86=0,0,VLOOKUP(Q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E86" s="111">
        <f>IF(R86=0,0,VLOOKUP(R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F86" s="111">
        <f>IF(S86=0,0,VLOOKUP(S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G86" s="111">
        <f>IF(T86=0,0,VLOOKUP(T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H86" s="111">
        <f>IF(U86=0,0,VLOOKUP(U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I86" s="111">
        <f>IF(V86=0,0,VLOOKUP(V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J86" s="111">
        <f>IF(W86=0,0,VLOOKUP(W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1</v>
      </c>
      <c r="K86" s="704"/>
      <c r="L86" s="707"/>
      <c r="M86" s="51" t="s">
        <v>311</v>
      </c>
      <c r="N86" s="282" t="s">
        <v>31</v>
      </c>
      <c r="O86" s="283" t="s">
        <v>21</v>
      </c>
      <c r="P86" s="283" t="s">
        <v>148</v>
      </c>
      <c r="Q86" s="283" t="s">
        <v>121</v>
      </c>
      <c r="R86" s="284" t="s">
        <v>116</v>
      </c>
      <c r="S86" s="284" t="s">
        <v>196</v>
      </c>
      <c r="T86" s="284" t="s">
        <v>197</v>
      </c>
      <c r="U86" s="285" t="s">
        <v>198</v>
      </c>
      <c r="V86" s="285" t="s">
        <v>199</v>
      </c>
      <c r="W86" s="286" t="s">
        <v>200</v>
      </c>
      <c r="X86" s="710"/>
      <c r="Y86" s="710"/>
      <c r="Z86" s="710"/>
      <c r="AA86" s="710"/>
      <c r="AB86" s="88" t="s">
        <v>71</v>
      </c>
    </row>
    <row r="87" spans="1:29" ht="11.25" customHeight="1" x14ac:dyDescent="0.25">
      <c r="A87" s="111">
        <f>IF(N87=0,0,VLOOKUP(N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B87" s="111">
        <f>IF(O87=0,0,VLOOKUP(O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C87" s="111">
        <f>IF(P87=0,0,VLOOKUP(P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D87" s="111">
        <f>IF(Q87=0,0,VLOOKUP(Q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E87" s="111">
        <f>IF(R87=0,0,VLOOKUP(R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F87" s="111">
        <f>IF(S87=0,0,VLOOKUP(S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G87" s="111">
        <f>IF(T87=0,0,VLOOKUP(T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H87" s="111">
        <f>IF(U87=0,0,VLOOKUP(U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I87" s="111">
        <f>IF(V87=0,0,VLOOKUP(V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J87" s="111">
        <f>IF(W87=0,0,VLOOKUP(W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K87" s="705"/>
      <c r="L87" s="708"/>
      <c r="M87" s="52" t="s">
        <v>309</v>
      </c>
      <c r="N87" s="287" t="s">
        <v>142</v>
      </c>
      <c r="O87" s="288"/>
      <c r="P87" s="288"/>
      <c r="Q87" s="288"/>
      <c r="R87" s="289"/>
      <c r="S87" s="289"/>
      <c r="T87" s="289"/>
      <c r="U87" s="290"/>
      <c r="V87" s="290"/>
      <c r="W87" s="291"/>
      <c r="X87" s="711"/>
      <c r="Y87" s="711"/>
      <c r="Z87" s="711"/>
      <c r="AA87" s="711"/>
      <c r="AB87" s="88" t="s">
        <v>71</v>
      </c>
    </row>
    <row r="88" spans="1:29" ht="11.25" customHeight="1" x14ac:dyDescent="0.25">
      <c r="A88" s="111">
        <f>IF(N88=0,0,VLOOKUP(N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B88" s="111">
        <f>IF(O88=0,0,VLOOKUP(O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C88" s="111">
        <f>IF(P88=0,0,VLOOKUP(P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D88" s="111">
        <f>IF(Q88=0,0,VLOOKUP(Q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E88" s="111">
        <f>IF(R88=0,0,VLOOKUP(R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F88" s="111">
        <f>IF(S88=0,0,VLOOKUP(S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G88" s="111">
        <f>IF(T88=0,0,VLOOKUP(T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H88" s="111">
        <f>IF(U88=0,0,VLOOKUP(U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I88" s="111">
        <f>IF(V88=0,0,VLOOKUP(V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J88" s="111">
        <f>IF(W88=0,0,VLOOKUP(W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K88" s="713" t="s">
        <v>74</v>
      </c>
      <c r="L88" s="706" t="str">
        <f>IF(K88=0,0,VLOOKUP(K88,CBGV!$B$4:$M$68,12,0))</f>
        <v>12A3</v>
      </c>
      <c r="M88" s="54" t="s">
        <v>179</v>
      </c>
      <c r="N88" s="277" t="s">
        <v>197</v>
      </c>
      <c r="O88" s="278" t="s">
        <v>18</v>
      </c>
      <c r="P88" s="277" t="s">
        <v>20</v>
      </c>
      <c r="Q88" s="278" t="s">
        <v>203</v>
      </c>
      <c r="R88" s="279" t="s">
        <v>305</v>
      </c>
      <c r="S88" s="279"/>
      <c r="T88" s="279"/>
      <c r="U88" s="279"/>
      <c r="V88" s="279"/>
      <c r="W88" s="279"/>
      <c r="X88" s="279"/>
      <c r="Y88" s="279"/>
      <c r="Z88" s="280"/>
      <c r="AA88" s="280"/>
      <c r="AB88" s="390"/>
      <c r="AC88" s="281"/>
    </row>
    <row r="89" spans="1:29" ht="11.25" customHeight="1" x14ac:dyDescent="0.25">
      <c r="A89" s="111">
        <f>IF(N89=0,0,VLOOKUP(N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B89" s="111">
        <f>IF(O89=0,0,VLOOKUP(O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C89" s="111">
        <f>IF(P89=0,0,VLOOKUP(P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D89" s="111">
        <f>IF(Q89=0,0,VLOOKUP(Q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E89" s="111">
        <f>IF(R89=0,0,VLOOKUP(R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F89" s="111">
        <f>IF(S89=0,0,VLOOKUP(S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G89" s="111">
        <f>IF(T89=0,0,VLOOKUP(T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H89" s="111">
        <f>IF(U89=0,0,VLOOKUP(U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I89" s="111">
        <f>IF(V89=0,0,VLOOKUP(V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J89" s="111">
        <f>IF(W89=0,0,VLOOKUP(W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K89" s="714"/>
      <c r="L89" s="707"/>
      <c r="M89" s="55" t="s">
        <v>311</v>
      </c>
      <c r="N89" s="282" t="s">
        <v>18</v>
      </c>
      <c r="O89" s="283" t="s">
        <v>24</v>
      </c>
      <c r="P89" s="282" t="s">
        <v>513</v>
      </c>
      <c r="Q89" s="283" t="s">
        <v>21</v>
      </c>
      <c r="R89" s="279" t="s">
        <v>148</v>
      </c>
      <c r="S89" s="279" t="s">
        <v>121</v>
      </c>
      <c r="T89" s="284" t="s">
        <v>27</v>
      </c>
      <c r="U89" s="284" t="s">
        <v>30</v>
      </c>
      <c r="V89" s="284" t="s">
        <v>20</v>
      </c>
      <c r="W89" s="284"/>
      <c r="X89" s="284"/>
      <c r="Y89" s="284" t="s">
        <v>213</v>
      </c>
      <c r="Z89" s="285" t="s">
        <v>214</v>
      </c>
      <c r="AA89" s="285" t="s">
        <v>215</v>
      </c>
      <c r="AB89" s="391" t="s">
        <v>219</v>
      </c>
      <c r="AC89" s="286" t="s">
        <v>478</v>
      </c>
    </row>
    <row r="90" spans="1:29" ht="11.25" customHeight="1" x14ac:dyDescent="0.25">
      <c r="A90" s="111">
        <f>IF(N90=0,0,VLOOKUP(N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B90" s="111">
        <f>IF(O90=0,0,VLOOKUP(O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C90" s="111">
        <f>IF(P90=0,0,VLOOKUP(P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1</v>
      </c>
      <c r="D90" s="111">
        <f>IF(Q90=0,0,VLOOKUP(Q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1</v>
      </c>
      <c r="E90" s="111">
        <f>IF(R90=0,0,VLOOKUP(R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F90" s="111">
        <f>IF(S90=0,0,VLOOKUP(S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G90" s="111">
        <f>IF(T90=0,0,VLOOKUP(T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H90" s="111">
        <f>IF(U90=0,0,VLOOKUP(U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I90" s="111">
        <f>IF(V90=0,0,VLOOKUP(V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J90" s="111">
        <f>IF(W90=0,0,VLOOKUP(W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K90" s="715"/>
      <c r="L90" s="708"/>
      <c r="M90" s="56" t="s">
        <v>309</v>
      </c>
      <c r="N90" s="287"/>
      <c r="O90" s="288"/>
      <c r="P90" s="287" t="s">
        <v>20</v>
      </c>
      <c r="Q90" s="393" t="s">
        <v>173</v>
      </c>
      <c r="R90" s="279"/>
      <c r="S90" s="279"/>
      <c r="T90" s="289"/>
      <c r="U90" s="289"/>
      <c r="V90" s="289"/>
      <c r="W90" s="289"/>
      <c r="X90" s="289"/>
      <c r="Y90" s="289"/>
      <c r="Z90" s="290"/>
      <c r="AA90" s="290"/>
      <c r="AB90" s="392"/>
      <c r="AC90" s="291"/>
    </row>
    <row r="91" spans="1:29" ht="11.25" customHeight="1" x14ac:dyDescent="0.25">
      <c r="A91" s="111">
        <f>IF(N91=0,0,VLOOKUP(N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B91" s="111">
        <f>IF(O91=0,0,VLOOKUP(O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C91" s="111">
        <f>IF(P91=0,0,VLOOKUP(P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D91" s="111">
        <f>IF(Q91=0,0,VLOOKUP(Q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E91" s="111">
        <f>IF(R91=0,0,VLOOKUP(R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F91" s="111">
        <f>IF(S91=0,0,VLOOKUP(S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G91" s="111">
        <f>IF(T91=0,0,VLOOKUP(T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H91" s="111">
        <f>IF(U91=0,0,VLOOKUP(U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I91" s="111">
        <f>IF(V91=0,0,VLOOKUP(V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J91" s="111">
        <f>IF(W91=0,0,VLOOKUP(W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K91" s="703" t="s">
        <v>75</v>
      </c>
      <c r="L91" s="706">
        <f>IF(K91=0,0,VLOOKUP(K91,CBGV!$B$4:$M$68,12,0))</f>
        <v>0</v>
      </c>
      <c r="M91" s="57" t="s">
        <v>186</v>
      </c>
      <c r="N91" s="394" t="s">
        <v>121</v>
      </c>
      <c r="O91" s="395"/>
      <c r="P91" s="395"/>
      <c r="Q91" s="395"/>
      <c r="R91" s="396"/>
      <c r="S91" s="279"/>
      <c r="T91" s="279"/>
      <c r="U91" s="279"/>
      <c r="V91" s="280"/>
      <c r="W91" s="281"/>
      <c r="X91" s="709">
        <f>IF(K91=0,0,VLOOKUP(K91,CBGV!$B$4:$P$68,14,0))+IF(L91=0,0,VLOOKUP(L91,'T-L-K'!$B$7:$BH$36,2,0))</f>
        <v>13</v>
      </c>
      <c r="Y91" s="712">
        <f>SUM(A91:J93)</f>
        <v>8</v>
      </c>
      <c r="Z91" s="712">
        <f>SUM(A91:J93)+X91</f>
        <v>21</v>
      </c>
      <c r="AA91" s="709">
        <f>IF((Z91-(VLOOKUP(K91,CBGV!$B$4:$P$68,13,0)))&lt;=-14,"/",(Z91-17))</f>
        <v>4</v>
      </c>
      <c r="AB91" s="88" t="s">
        <v>29</v>
      </c>
    </row>
    <row r="92" spans="1:29" ht="11.25" customHeight="1" x14ac:dyDescent="0.25">
      <c r="A92" s="111">
        <f>IF(N92=0,0,VLOOKUP(N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B92" s="111">
        <f>IF(O92=0,0,VLOOKUP(O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C92" s="111">
        <f>IF(P92=0,0,VLOOKUP(P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D92" s="111">
        <f>IF(Q92=0,0,VLOOKUP(Q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E92" s="111">
        <f>IF(R92=0,0,VLOOKUP(R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F92" s="111">
        <f>IF(S92=0,0,VLOOKUP(S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G92" s="111">
        <f>IF(T92=0,0,VLOOKUP(T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H92" s="111">
        <f>IF(U92=0,0,VLOOKUP(U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I92" s="111">
        <f>IF(V92=0,0,VLOOKUP(V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J92" s="111">
        <f>IF(W92=0,0,VLOOKUP(W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K92" s="704"/>
      <c r="L92" s="707"/>
      <c r="M92" s="51" t="s">
        <v>311</v>
      </c>
      <c r="N92" s="397" t="s">
        <v>121</v>
      </c>
      <c r="O92" s="398" t="s">
        <v>202</v>
      </c>
      <c r="P92" s="398" t="s">
        <v>305</v>
      </c>
      <c r="Q92" s="53" t="s">
        <v>30</v>
      </c>
      <c r="R92" s="399" t="s">
        <v>219</v>
      </c>
      <c r="S92" s="284"/>
      <c r="T92" s="284"/>
      <c r="U92" s="285"/>
      <c r="V92" s="285"/>
      <c r="W92" s="286"/>
      <c r="X92" s="710"/>
      <c r="Y92" s="710"/>
      <c r="Z92" s="710"/>
      <c r="AA92" s="710"/>
      <c r="AB92" s="88" t="s">
        <v>29</v>
      </c>
    </row>
    <row r="93" spans="1:29" ht="11.25" customHeight="1" x14ac:dyDescent="0.25">
      <c r="A93" s="111">
        <f>IF(N93=0,0,VLOOKUP(N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B93" s="111">
        <f>IF(O93=0,0,VLOOKUP(O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C93" s="111">
        <f>IF(P93=0,0,VLOOKUP(P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D93" s="111">
        <f>IF(Q93=0,0,VLOOKUP(Q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E93" s="111">
        <f>IF(R93=0,0,VLOOKUP(R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F93" s="111">
        <f>IF(S93=0,0,VLOOKUP(S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G93" s="111">
        <f>IF(T93=0,0,VLOOKUP(T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H93" s="111">
        <f>IF(U93=0,0,VLOOKUP(U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I93" s="111">
        <f>IF(V93=0,0,VLOOKUP(V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J93" s="111">
        <f>IF(W93=0,0,VLOOKUP(W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K93" s="705"/>
      <c r="L93" s="708"/>
      <c r="M93" s="52" t="s">
        <v>309</v>
      </c>
      <c r="N93" s="287"/>
      <c r="O93" s="288"/>
      <c r="P93" s="288"/>
      <c r="Q93" s="288"/>
      <c r="R93" s="289"/>
      <c r="S93" s="289"/>
      <c r="T93" s="289"/>
      <c r="U93" s="290"/>
      <c r="V93" s="290"/>
      <c r="W93" s="291"/>
      <c r="X93" s="711"/>
      <c r="Y93" s="711"/>
      <c r="Z93" s="711"/>
      <c r="AA93" s="711"/>
      <c r="AB93" s="88" t="s">
        <v>29</v>
      </c>
    </row>
    <row r="94" spans="1:29" ht="11.25" customHeight="1" x14ac:dyDescent="0.25">
      <c r="A94" s="111">
        <f>IF(N94=0,0,VLOOKUP(N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B94" s="111">
        <f>IF(O94=0,0,VLOOKUP(O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C94" s="111">
        <f>IF(P94=0,0,VLOOKUP(P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D94" s="111">
        <f>IF(Q94=0,0,VLOOKUP(Q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E94" s="111">
        <f>IF(R94=0,0,VLOOKUP(R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F94" s="111">
        <f>IF(S94=0,0,VLOOKUP(S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G94" s="111">
        <f>IF(T94=0,0,VLOOKUP(T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H94" s="111">
        <f>IF(U94=0,0,VLOOKUP(U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I94" s="111">
        <f>IF(V94=0,0,VLOOKUP(V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J94" s="111">
        <f>IF(W94=0,0,VLOOKUP(W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K94" s="713" t="s">
        <v>76</v>
      </c>
      <c r="L94" s="706">
        <f>IF(K94=0,0,VLOOKUP(K94,CBGV!$B$4:$M$68,12,0))</f>
        <v>0</v>
      </c>
      <c r="M94" s="54" t="s">
        <v>186</v>
      </c>
      <c r="N94" s="400" t="s">
        <v>478</v>
      </c>
      <c r="O94" s="401" t="s">
        <v>173</v>
      </c>
      <c r="P94" s="402" t="s">
        <v>214</v>
      </c>
      <c r="Q94" s="402" t="s">
        <v>202</v>
      </c>
      <c r="R94" s="403" t="s">
        <v>305</v>
      </c>
      <c r="S94" s="279"/>
      <c r="T94" s="279"/>
      <c r="U94" s="280"/>
      <c r="V94" s="280"/>
      <c r="W94" s="281"/>
      <c r="X94" s="706">
        <f>IF(K94=0,0,VLOOKUP(K94,CBGV!$B$4:$P$68,14,0))+IF(L94=0,0,VLOOKUP(L94,'T-L-K'!$B$7:$BH$36,2,0))</f>
        <v>3</v>
      </c>
      <c r="Y94" s="716">
        <f>SUM(A94:J96)</f>
        <v>18</v>
      </c>
      <c r="Z94" s="716">
        <f>SUM(A94:J96)+X94</f>
        <v>21</v>
      </c>
      <c r="AA94" s="706">
        <f>IF((Z94-(VLOOKUP(K94,CBGV!$B$4:$P$68,13,0)))&lt;=-14,"/",(Z94-(VLOOKUP(K94,CBGV!$B$4:$P$68,13,0))))</f>
        <v>4</v>
      </c>
      <c r="AB94" s="88" t="s">
        <v>29</v>
      </c>
    </row>
    <row r="95" spans="1:29" ht="11.25" customHeight="1" x14ac:dyDescent="0.25">
      <c r="A95" s="111">
        <f>IF(N95=0,0,VLOOKUP(N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B95" s="111">
        <f>IF(O95=0,0,VLOOKUP(O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C95" s="111">
        <f>IF(P95=0,0,VLOOKUP(P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D95" s="111">
        <f>IF(Q95=0,0,VLOOKUP(Q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E95" s="111">
        <f>IF(R95=0,0,VLOOKUP(R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F95" s="111">
        <f>IF(S95=0,0,VLOOKUP(S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G95" s="111">
        <f>IF(T95=0,0,VLOOKUP(T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H95" s="111">
        <f>IF(U95=0,0,VLOOKUP(U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I95" s="111">
        <f>IF(V95=0,0,VLOOKUP(V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J95" s="111">
        <f>IF(W95=0,0,VLOOKUP(W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K95" s="714"/>
      <c r="L95" s="707"/>
      <c r="M95" s="55" t="s">
        <v>311</v>
      </c>
      <c r="N95" s="397"/>
      <c r="O95" s="398" t="s">
        <v>173</v>
      </c>
      <c r="P95" s="398" t="s">
        <v>214</v>
      </c>
      <c r="Q95" s="398"/>
      <c r="R95" s="399"/>
      <c r="S95" s="284"/>
      <c r="T95" s="284"/>
      <c r="U95" s="285"/>
      <c r="V95" s="285"/>
      <c r="W95" s="286"/>
      <c r="X95" s="707"/>
      <c r="Y95" s="707"/>
      <c r="Z95" s="707"/>
      <c r="AA95" s="707"/>
      <c r="AB95" s="88" t="s">
        <v>29</v>
      </c>
    </row>
    <row r="96" spans="1:29" ht="11.25" customHeight="1" x14ac:dyDescent="0.25">
      <c r="A96" s="111">
        <f>IF(N96=0,0,VLOOKUP(N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B96" s="111">
        <f>IF(O96=0,0,VLOOKUP(O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C96" s="111">
        <f>IF(P96=0,0,VLOOKUP(P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D96" s="111">
        <f>IF(Q96=0,0,VLOOKUP(Q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E96" s="111">
        <f>IF(R96=0,0,VLOOKUP(R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F96" s="111">
        <f>IF(S96=0,0,VLOOKUP(S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G96" s="111">
        <f>IF(T96=0,0,VLOOKUP(T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H96" s="111">
        <f>IF(U96=0,0,VLOOKUP(U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I96" s="111">
        <f>IF(V96=0,0,VLOOKUP(V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J96" s="111">
        <f>IF(W96=0,0,VLOOKUP(W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K96" s="715"/>
      <c r="L96" s="708"/>
      <c r="M96" s="56" t="s">
        <v>309</v>
      </c>
      <c r="N96" s="287"/>
      <c r="O96" s="288"/>
      <c r="P96" s="288"/>
      <c r="Q96" s="288"/>
      <c r="R96" s="289"/>
      <c r="S96" s="289"/>
      <c r="T96" s="289"/>
      <c r="U96" s="290"/>
      <c r="V96" s="290"/>
      <c r="W96" s="291"/>
      <c r="X96" s="708"/>
      <c r="Y96" s="708"/>
      <c r="Z96" s="708"/>
      <c r="AA96" s="708"/>
      <c r="AB96" s="88" t="s">
        <v>29</v>
      </c>
    </row>
    <row r="97" spans="1:28" ht="11.25" customHeight="1" x14ac:dyDescent="0.25">
      <c r="A97" s="111">
        <f>IF(N97=0,0,VLOOKUP(N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B97" s="111">
        <f>IF(O97=0,0,VLOOKUP(O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4</v>
      </c>
      <c r="C97" s="111">
        <f>IF(P97=0,0,VLOOKUP(P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D97" s="111">
        <f>IF(Q97=0,0,VLOOKUP(Q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E97" s="111">
        <f>IF(R97=0,0,VLOOKUP(R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4</v>
      </c>
      <c r="F97" s="111">
        <f>IF(S97=0,0,VLOOKUP(S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G97" s="111">
        <f>IF(T97=0,0,VLOOKUP(T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H97" s="111">
        <f>IF(U97=0,0,VLOOKUP(U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I97" s="111">
        <f>IF(V97=0,0,VLOOKUP(V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J97" s="111">
        <f>IF(W97=0,0,VLOOKUP(W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K97" s="703" t="s">
        <v>77</v>
      </c>
      <c r="L97" s="706">
        <f>IF(K97=0,0,VLOOKUP(K97,CBGV!$B$4:$M$68,12,0))</f>
        <v>0</v>
      </c>
      <c r="M97" s="57" t="s">
        <v>186</v>
      </c>
      <c r="N97" s="400" t="s">
        <v>27</v>
      </c>
      <c r="O97" s="401" t="s">
        <v>140</v>
      </c>
      <c r="P97" s="402" t="s">
        <v>30</v>
      </c>
      <c r="Q97" s="402" t="s">
        <v>21</v>
      </c>
      <c r="R97" s="404" t="s">
        <v>116</v>
      </c>
      <c r="S97" s="279"/>
      <c r="T97" s="279"/>
      <c r="U97" s="280"/>
      <c r="V97" s="280"/>
      <c r="W97" s="281"/>
      <c r="X97" s="709">
        <f>IF(K97=0,0,VLOOKUP(K97,CBGV!$B$4:$P$68,14,0))+IF(L97=0,0,VLOOKUP(L97,'T-L-K'!$B$7:$BH$36,2,0))</f>
        <v>1</v>
      </c>
      <c r="Y97" s="712">
        <f>SUM(A97:J99)</f>
        <v>21</v>
      </c>
      <c r="Z97" s="712">
        <f>SUM(A97:J99)+X97</f>
        <v>22</v>
      </c>
      <c r="AA97" s="709">
        <f>IF((Z97-(VLOOKUP(K97,CBGV!$B$4:$P$68,13,0)))&lt;=-14,"/",(Z97-(VLOOKUP(K97,CBGV!$B$4:$P$68,13,0))))</f>
        <v>5</v>
      </c>
      <c r="AB97" s="88" t="s">
        <v>29</v>
      </c>
    </row>
    <row r="98" spans="1:28" ht="11.25" customHeight="1" x14ac:dyDescent="0.25">
      <c r="A98" s="111">
        <f>IF(N98=0,0,VLOOKUP(N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B98" s="111">
        <f>IF(O98=0,0,VLOOKUP(O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C98" s="111">
        <f>IF(P98=0,0,VLOOKUP(P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D98" s="111">
        <f>IF(Q98=0,0,VLOOKUP(Q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E98" s="111">
        <f>IF(R98=0,0,VLOOKUP(R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F98" s="111">
        <f>IF(S98=0,0,VLOOKUP(S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G98" s="111">
        <f>IF(T98=0,0,VLOOKUP(T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H98" s="111">
        <f>IF(U98=0,0,VLOOKUP(U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I98" s="111">
        <f>IF(V98=0,0,VLOOKUP(V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J98" s="111">
        <f>IF(W98=0,0,VLOOKUP(W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K98" s="704"/>
      <c r="L98" s="707"/>
      <c r="M98" s="51" t="s">
        <v>311</v>
      </c>
      <c r="N98" s="400" t="s">
        <v>27</v>
      </c>
      <c r="O98" s="398" t="s">
        <v>140</v>
      </c>
      <c r="P98" s="4"/>
      <c r="Q98" s="402" t="s">
        <v>21</v>
      </c>
      <c r="R98" s="399"/>
      <c r="S98" s="284"/>
      <c r="T98" s="284"/>
      <c r="U98" s="285"/>
      <c r="V98" s="285"/>
      <c r="W98" s="286"/>
      <c r="X98" s="710"/>
      <c r="Y98" s="710"/>
      <c r="Z98" s="710"/>
      <c r="AA98" s="710"/>
      <c r="AB98" s="88" t="s">
        <v>29</v>
      </c>
    </row>
    <row r="99" spans="1:28" ht="11.25" customHeight="1" x14ac:dyDescent="0.25">
      <c r="A99" s="111">
        <f>IF(N99=0,0,VLOOKUP(N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1</v>
      </c>
      <c r="B99" s="111">
        <f>IF(O99=0,0,VLOOKUP(O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C99" s="111">
        <f>IF(P99=0,0,VLOOKUP(P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D99" s="111">
        <f>IF(Q99=0,0,VLOOKUP(Q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E99" s="111">
        <f>IF(R99=0,0,VLOOKUP(R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F99" s="111">
        <f>IF(S99=0,0,VLOOKUP(S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G99" s="111">
        <f>IF(T99=0,0,VLOOKUP(T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H99" s="111">
        <f>IF(U99=0,0,VLOOKUP(U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I99" s="111">
        <f>IF(V99=0,0,VLOOKUP(V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J99" s="111">
        <f>IF(W99=0,0,VLOOKUP(W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K99" s="705"/>
      <c r="L99" s="708"/>
      <c r="M99" s="52" t="s">
        <v>309</v>
      </c>
      <c r="N99" s="405" t="s">
        <v>138</v>
      </c>
      <c r="O99" s="406"/>
      <c r="P99" s="406"/>
      <c r="Q99" s="406"/>
      <c r="R99" s="407"/>
      <c r="S99" s="289"/>
      <c r="T99" s="289"/>
      <c r="U99" s="290"/>
      <c r="V99" s="290"/>
      <c r="W99" s="291"/>
      <c r="X99" s="711"/>
      <c r="Y99" s="711"/>
      <c r="Z99" s="711"/>
      <c r="AA99" s="711"/>
      <c r="AB99" s="88" t="s">
        <v>29</v>
      </c>
    </row>
    <row r="100" spans="1:28" ht="11.25" customHeight="1" x14ac:dyDescent="0.25">
      <c r="A100" s="111">
        <f>IF(N100=0,0,VLOOKUP(N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B100" s="111">
        <f>IF(O100=0,0,VLOOKUP(O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C100" s="111">
        <f>IF(P100=0,0,VLOOKUP(P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D100" s="111">
        <f>IF(Q100=0,0,VLOOKUP(Q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E100" s="111">
        <f>IF(R100=0,0,VLOOKUP(R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F100" s="111">
        <f>IF(S100=0,0,VLOOKUP(S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4</v>
      </c>
      <c r="G100" s="111">
        <f>IF(T100=0,0,VLOOKUP(T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H100" s="111">
        <f>IF(U100=0,0,VLOOKUP(U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I100" s="111">
        <f>IF(V100=0,0,VLOOKUP(V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J100" s="111">
        <f>IF(W100=0,0,VLOOKUP(W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K100" s="713" t="s">
        <v>80</v>
      </c>
      <c r="L100" s="706">
        <f>IF(K100=0,0,VLOOKUP(K100,CBGV!$B$4:$M$68,12,0))</f>
        <v>0</v>
      </c>
      <c r="M100" s="54" t="s">
        <v>186</v>
      </c>
      <c r="N100" s="400" t="s">
        <v>20</v>
      </c>
      <c r="O100" s="402" t="s">
        <v>213</v>
      </c>
      <c r="P100" s="402" t="s">
        <v>219</v>
      </c>
      <c r="Q100" s="402" t="s">
        <v>124</v>
      </c>
      <c r="R100" s="403" t="s">
        <v>204</v>
      </c>
      <c r="S100" s="404" t="s">
        <v>201</v>
      </c>
      <c r="T100" s="279"/>
      <c r="U100" s="280"/>
      <c r="V100" s="280"/>
      <c r="W100" s="281"/>
      <c r="X100" s="706">
        <f>IF(K100=0,0,VLOOKUP(K100,CBGV!$B$4:$P$68,14,0))+IF(L100=0,0,VLOOKUP(L100,'T-L-K'!$B$7:$BH$36,2,0))</f>
        <v>0</v>
      </c>
      <c r="Y100" s="716">
        <f>SUM(A100:J102)</f>
        <v>22</v>
      </c>
      <c r="Z100" s="716">
        <f>SUM(A100:J102)+X100</f>
        <v>22</v>
      </c>
      <c r="AA100" s="706">
        <f>IF((Z100-(VLOOKUP(K100,CBGV!$B$4:$P$68,13,0)))&lt;=-14,"/",(Z100-(VLOOKUP(K100,CBGV!$B$4:$P$68,13,0))))</f>
        <v>5</v>
      </c>
      <c r="AB100" s="88" t="s">
        <v>29</v>
      </c>
    </row>
    <row r="101" spans="1:28" ht="11.25" customHeight="1" x14ac:dyDescent="0.25">
      <c r="A101" s="111">
        <f>IF(N101=0,0,VLOOKUP(N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B101" s="111">
        <f>IF(O101=0,0,VLOOKUP(O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C101" s="111">
        <f>IF(P101=0,0,VLOOKUP(P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D101" s="111">
        <f>IF(Q101=0,0,VLOOKUP(Q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E101" s="111">
        <f>IF(R101=0,0,VLOOKUP(R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F101" s="111">
        <f>IF(S101=0,0,VLOOKUP(S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G101" s="111">
        <f>IF(T101=0,0,VLOOKUP(T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H101" s="111">
        <f>IF(U101=0,0,VLOOKUP(U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I101" s="111">
        <f>IF(V101=0,0,VLOOKUP(V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J101" s="111">
        <f>IF(W101=0,0,VLOOKUP(W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K101" s="714"/>
      <c r="L101" s="707"/>
      <c r="M101" s="55" t="s">
        <v>311</v>
      </c>
      <c r="N101" s="400" t="s">
        <v>20</v>
      </c>
      <c r="O101" s="402" t="s">
        <v>213</v>
      </c>
      <c r="P101" s="408"/>
      <c r="Q101" s="408"/>
      <c r="R101" s="409"/>
      <c r="S101" s="409"/>
      <c r="T101" s="284"/>
      <c r="U101" s="285"/>
      <c r="V101" s="285"/>
      <c r="W101" s="286"/>
      <c r="X101" s="707"/>
      <c r="Y101" s="707"/>
      <c r="Z101" s="707"/>
      <c r="AA101" s="707"/>
      <c r="AB101" s="88" t="s">
        <v>29</v>
      </c>
    </row>
    <row r="102" spans="1:28" ht="11.25" customHeight="1" x14ac:dyDescent="0.25">
      <c r="A102" s="111">
        <f>IF(N102=0,0,VLOOKUP(N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1</v>
      </c>
      <c r="B102" s="111">
        <f>IF(O102=0,0,VLOOKUP(O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C102" s="111">
        <f>IF(P102=0,0,VLOOKUP(P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D102" s="111">
        <f>IF(Q102=0,0,VLOOKUP(Q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E102" s="111">
        <f>IF(R102=0,0,VLOOKUP(R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F102" s="111">
        <f>IF(S102=0,0,VLOOKUP(S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G102" s="111">
        <f>IF(T102=0,0,VLOOKUP(T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H102" s="111">
        <f>IF(U102=0,0,VLOOKUP(U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I102" s="111">
        <f>IF(V102=0,0,VLOOKUP(V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J102" s="111">
        <f>IF(W102=0,0,VLOOKUP(W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K102" s="715"/>
      <c r="L102" s="708"/>
      <c r="M102" s="56" t="s">
        <v>309</v>
      </c>
      <c r="N102" s="405" t="s">
        <v>201</v>
      </c>
      <c r="O102" s="410"/>
      <c r="P102" s="410"/>
      <c r="Q102" s="410"/>
      <c r="R102" s="411"/>
      <c r="S102" s="411"/>
      <c r="T102" s="289"/>
      <c r="U102" s="290"/>
      <c r="V102" s="290"/>
      <c r="W102" s="291"/>
      <c r="X102" s="708"/>
      <c r="Y102" s="708"/>
      <c r="Z102" s="708"/>
      <c r="AA102" s="708"/>
      <c r="AB102" s="88" t="s">
        <v>29</v>
      </c>
    </row>
    <row r="103" spans="1:28" ht="11.25" customHeight="1" x14ac:dyDescent="0.25">
      <c r="A103" s="111">
        <f>IF(N103=0,0,VLOOKUP(N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B103" s="111">
        <f>IF(O103=0,0,VLOOKUP(O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C103" s="111">
        <f>IF(P103=0,0,VLOOKUP(P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D103" s="111">
        <f>IF(Q103=0,0,VLOOKUP(Q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E103" s="111">
        <f>IF(R103=0,0,VLOOKUP(R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F103" s="111">
        <f>IF(S103=0,0,VLOOKUP(S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G103" s="111">
        <f>IF(T103=0,0,VLOOKUP(T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H103" s="111">
        <f>IF(U103=0,0,VLOOKUP(U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I103" s="111">
        <f>IF(V103=0,0,VLOOKUP(V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J103" s="111">
        <f>IF(W103=0,0,VLOOKUP(W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K103" s="703" t="s">
        <v>189</v>
      </c>
      <c r="L103" s="706">
        <f>IF(K103=0,0,VLOOKUP(K103,CBGV!$B$4:$M$68,12,0))</f>
        <v>0</v>
      </c>
      <c r="M103" s="57" t="s">
        <v>186</v>
      </c>
      <c r="N103" s="400" t="s">
        <v>215</v>
      </c>
      <c r="O103" s="402"/>
      <c r="P103" s="402"/>
      <c r="Q103" s="278"/>
      <c r="R103" s="279"/>
      <c r="S103" s="279"/>
      <c r="T103" s="279"/>
      <c r="U103" s="280"/>
      <c r="V103" s="280"/>
      <c r="W103" s="281"/>
      <c r="X103" s="709">
        <f>IF(K103=0,0,VLOOKUP(K103,CBGV!$B$4:$P$68,14,0))+IF(L103=0,0,VLOOKUP(L103,'T-L-K'!$B$7:$BH$36,2,0))</f>
        <v>15</v>
      </c>
      <c r="Y103" s="712">
        <f>SUM(A103:J105)</f>
        <v>6</v>
      </c>
      <c r="Z103" s="712">
        <f>SUM(A103:J105)+X103</f>
        <v>21</v>
      </c>
      <c r="AA103" s="709">
        <f>IF((Z103-(VLOOKUP(K103,CBGV!$B$4:$P$68,13,0)))&lt;=-14,"/",(Z103-(VLOOKUP(K103,CBGV!$B$4:$P$68,13,0))))</f>
        <v>4</v>
      </c>
      <c r="AB103" s="88" t="s">
        <v>29</v>
      </c>
    </row>
    <row r="104" spans="1:28" ht="11.25" customHeight="1" x14ac:dyDescent="0.25">
      <c r="A104" s="111">
        <f>IF(N104=0,0,VLOOKUP(N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B104" s="111">
        <f>IF(O104=0,0,VLOOKUP(O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C104" s="111">
        <f>IF(P104=0,0,VLOOKUP(P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D104" s="111">
        <f>IF(Q104=0,0,VLOOKUP(Q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E104" s="111">
        <f>IF(R104=0,0,VLOOKUP(R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F104" s="111">
        <f>IF(S104=0,0,VLOOKUP(S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G104" s="111">
        <f>IF(T104=0,0,VLOOKUP(T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H104" s="111">
        <f>IF(U104=0,0,VLOOKUP(U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I104" s="111">
        <f>IF(V104=0,0,VLOOKUP(V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J104" s="111">
        <f>IF(W104=0,0,VLOOKUP(W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K104" s="704"/>
      <c r="L104" s="707"/>
      <c r="M104" s="51" t="s">
        <v>311</v>
      </c>
      <c r="N104" s="400" t="s">
        <v>215</v>
      </c>
      <c r="O104" s="402" t="s">
        <v>478</v>
      </c>
      <c r="P104" s="398" t="s">
        <v>124</v>
      </c>
      <c r="Q104" s="283"/>
      <c r="R104" s="284"/>
      <c r="S104" s="284"/>
      <c r="T104" s="284"/>
      <c r="U104" s="285"/>
      <c r="V104" s="285"/>
      <c r="W104" s="286"/>
      <c r="X104" s="710"/>
      <c r="Y104" s="710"/>
      <c r="Z104" s="710"/>
      <c r="AA104" s="710"/>
      <c r="AB104" s="88" t="s">
        <v>29</v>
      </c>
    </row>
    <row r="105" spans="1:28" ht="11.25" customHeight="1" x14ac:dyDescent="0.25">
      <c r="A105" s="111">
        <f>IF(N105=0,0,VLOOKUP(N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B105" s="111">
        <f>IF(O105=0,0,VLOOKUP(O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C105" s="111">
        <f>IF(P105=0,0,VLOOKUP(P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D105" s="111">
        <f>IF(Q105=0,0,VLOOKUP(Q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E105" s="111">
        <f>IF(R105=0,0,VLOOKUP(R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F105" s="111">
        <f>IF(S105=0,0,VLOOKUP(S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G105" s="111">
        <f>IF(T105=0,0,VLOOKUP(T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H105" s="111">
        <f>IF(U105=0,0,VLOOKUP(U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I105" s="111">
        <f>IF(V105=0,0,VLOOKUP(V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J105" s="111">
        <f>IF(W105=0,0,VLOOKUP(W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K105" s="705"/>
      <c r="L105" s="708"/>
      <c r="M105" s="52" t="s">
        <v>309</v>
      </c>
      <c r="N105" s="287"/>
      <c r="O105" s="288"/>
      <c r="P105" s="288"/>
      <c r="Q105" s="288"/>
      <c r="R105" s="289"/>
      <c r="S105" s="289"/>
      <c r="T105" s="289"/>
      <c r="U105" s="290"/>
      <c r="V105" s="290"/>
      <c r="W105" s="291"/>
      <c r="X105" s="711"/>
      <c r="Y105" s="711"/>
      <c r="Z105" s="711"/>
      <c r="AA105" s="711"/>
      <c r="AB105" s="88" t="s">
        <v>29</v>
      </c>
    </row>
    <row r="106" spans="1:28" ht="11.25" customHeight="1" x14ac:dyDescent="0.25">
      <c r="A106" s="111">
        <f>IF(N106=0,0,VLOOKUP(N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B106" s="111">
        <f>IF(O106=0,0,VLOOKUP(O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C106" s="111">
        <f>IF(P106=0,0,VLOOKUP(P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D106" s="111">
        <f>IF(Q106=0,0,VLOOKUP(Q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E106" s="111">
        <f>IF(R106=0,0,VLOOKUP(R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F106" s="111">
        <f>IF(S106=0,0,VLOOKUP(S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G106" s="111">
        <f>IF(T106=0,0,VLOOKUP(T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H106" s="111">
        <f>IF(U106=0,0,VLOOKUP(U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I106" s="111">
        <f>IF(V106=0,0,VLOOKUP(V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J106" s="111">
        <f>IF(W106=0,0,VLOOKUP(W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K106" s="713" t="s">
        <v>82</v>
      </c>
      <c r="L106" s="706" t="e">
        <f>IF(K106=0,0,VLOOKUP(K106,CBGV!$B$4:$M$68,12,0))</f>
        <v>#N/A</v>
      </c>
      <c r="M106" s="54" t="s">
        <v>186</v>
      </c>
      <c r="N106" s="277"/>
      <c r="O106" s="278"/>
      <c r="P106" s="278"/>
      <c r="Q106" s="278"/>
      <c r="R106" s="279"/>
      <c r="S106" s="279"/>
      <c r="T106" s="279"/>
      <c r="U106" s="280"/>
      <c r="V106" s="280"/>
      <c r="W106" s="281"/>
      <c r="X106" s="706" t="e">
        <f>IF(K106=0,0,VLOOKUP(K106,CBGV!$B$4:$P$68,14,0))+IF(L106=0,0,VLOOKUP(L106,'T-L-K'!$B$7:$BH$36,2,0))</f>
        <v>#N/A</v>
      </c>
      <c r="Y106" s="716">
        <f>SUM(A106:J108)</f>
        <v>0</v>
      </c>
      <c r="Z106" s="716" t="e">
        <f>SUM(A106:J108)+X106</f>
        <v>#N/A</v>
      </c>
      <c r="AA106" s="706" t="e">
        <f>IF((Z106-(VLOOKUP(K106,CBGV!$B$4:$P$68,13,0)))&lt;=-14,"/",(Z106-(VLOOKUP(K106,CBGV!$B$4:$P$68,13,0))))</f>
        <v>#N/A</v>
      </c>
      <c r="AB106" s="88" t="s">
        <v>29</v>
      </c>
    </row>
    <row r="107" spans="1:28" ht="11.25" customHeight="1" x14ac:dyDescent="0.25">
      <c r="A107" s="111">
        <f>IF(N107=0,0,VLOOKUP(N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B107" s="111">
        <f>IF(O107=0,0,VLOOKUP(O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C107" s="111">
        <f>IF(P107=0,0,VLOOKUP(P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D107" s="111">
        <f>IF(Q107=0,0,VLOOKUP(Q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E107" s="111">
        <f>IF(R107=0,0,VLOOKUP(R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F107" s="111">
        <f>IF(S107=0,0,VLOOKUP(S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G107" s="111">
        <f>IF(T107=0,0,VLOOKUP(T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H107" s="111">
        <f>IF(U107=0,0,VLOOKUP(U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I107" s="111">
        <f>IF(V107=0,0,VLOOKUP(V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J107" s="111">
        <f>IF(W107=0,0,VLOOKUP(W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K107" s="714"/>
      <c r="L107" s="707"/>
      <c r="M107" s="55" t="s">
        <v>311</v>
      </c>
      <c r="N107" s="282"/>
      <c r="O107" s="283"/>
      <c r="P107" s="283"/>
      <c r="Q107" s="283"/>
      <c r="R107" s="284"/>
      <c r="S107" s="284"/>
      <c r="T107" s="284"/>
      <c r="U107" s="285"/>
      <c r="V107" s="285"/>
      <c r="W107" s="286"/>
      <c r="X107" s="707"/>
      <c r="Y107" s="707"/>
      <c r="Z107" s="707"/>
      <c r="AA107" s="707"/>
      <c r="AB107" s="88" t="s">
        <v>29</v>
      </c>
    </row>
    <row r="108" spans="1:28" ht="11.25" customHeight="1" x14ac:dyDescent="0.25">
      <c r="A108" s="111">
        <f>IF(N108=0,0,VLOOKUP(N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B108" s="111">
        <f>IF(O108=0,0,VLOOKUP(O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C108" s="111">
        <f>IF(P108=0,0,VLOOKUP(P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D108" s="111">
        <f>IF(Q108=0,0,VLOOKUP(Q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E108" s="111">
        <f>IF(R108=0,0,VLOOKUP(R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F108" s="111">
        <f>IF(S108=0,0,VLOOKUP(S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G108" s="111">
        <f>IF(T108=0,0,VLOOKUP(T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H108" s="111">
        <f>IF(U108=0,0,VLOOKUP(U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I108" s="111">
        <f>IF(V108=0,0,VLOOKUP(V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J108" s="111">
        <f>IF(W108=0,0,VLOOKUP(W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K108" s="715"/>
      <c r="L108" s="708"/>
      <c r="M108" s="56" t="s">
        <v>309</v>
      </c>
      <c r="N108" s="287"/>
      <c r="O108" s="288"/>
      <c r="P108" s="288"/>
      <c r="Q108" s="288"/>
      <c r="R108" s="289"/>
      <c r="S108" s="289"/>
      <c r="T108" s="289"/>
      <c r="U108" s="290"/>
      <c r="V108" s="290"/>
      <c r="W108" s="291"/>
      <c r="X108" s="708"/>
      <c r="Y108" s="708"/>
      <c r="Z108" s="708"/>
      <c r="AA108" s="708"/>
      <c r="AB108" s="88" t="s">
        <v>29</v>
      </c>
    </row>
    <row r="109" spans="1:28" ht="11.25" customHeight="1" x14ac:dyDescent="0.25">
      <c r="A109" s="111">
        <f>IF(N109=0,0,VLOOKUP(N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B109" s="111">
        <f>IF(O109=0,0,VLOOKUP(O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C109" s="111">
        <f>IF(P109=0,0,VLOOKUP(P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D109" s="111">
        <f>IF(Q109=0,0,VLOOKUP(Q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E109" s="111">
        <f>IF(R109=0,0,VLOOKUP(R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F109" s="111">
        <f>IF(S109=0,0,VLOOKUP(S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G109" s="111">
        <f>IF(T109=0,0,VLOOKUP(T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H109" s="111">
        <f>IF(U109=0,0,VLOOKUP(U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I109" s="111">
        <f>IF(V109=0,0,VLOOKUP(V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J109" s="111">
        <f>IF(W109=0,0,VLOOKUP(W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K109" s="703" t="s">
        <v>78</v>
      </c>
      <c r="L109" s="706" t="str">
        <f>IF(K109=0,0,VLOOKUP(K109,CBGV!$B$4:$M$68,12,0))</f>
        <v>11A3</v>
      </c>
      <c r="M109" s="57" t="s">
        <v>186</v>
      </c>
      <c r="N109" s="400" t="s">
        <v>197</v>
      </c>
      <c r="O109" s="402" t="s">
        <v>142</v>
      </c>
      <c r="P109" s="402" t="s">
        <v>24</v>
      </c>
      <c r="Q109" s="402" t="s">
        <v>203</v>
      </c>
      <c r="R109" s="279"/>
      <c r="S109" s="279"/>
      <c r="T109" s="279"/>
      <c r="U109" s="280"/>
      <c r="V109" s="280"/>
      <c r="W109" s="281"/>
      <c r="X109" s="709">
        <f>IF(K109=0,0,VLOOKUP(K109,CBGV!$B$4:$P$68,14,0))+IF(L109=0,0,VLOOKUP(L109,'T-L-K'!$B$7:$BH$36,2,0))</f>
        <v>5</v>
      </c>
      <c r="Y109" s="712">
        <f>SUM(A109:J111)</f>
        <v>16</v>
      </c>
      <c r="Z109" s="712">
        <f>SUM(A109:J111)+X109</f>
        <v>21</v>
      </c>
      <c r="AA109" s="709">
        <f>IF((Z109-(VLOOKUP(K109,CBGV!$B$4:$P$68,13,0)))&lt;=-14,"/",(Z109-(VLOOKUP(K109,CBGV!$B$4:$P$68,13,0))))</f>
        <v>4</v>
      </c>
      <c r="AB109" s="88" t="s">
        <v>29</v>
      </c>
    </row>
    <row r="110" spans="1:28" ht="11.25" customHeight="1" x14ac:dyDescent="0.25">
      <c r="A110" s="111">
        <f>IF(N110=0,0,VLOOKUP(N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B110" s="111">
        <f>IF(O110=0,0,VLOOKUP(O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C110" s="111">
        <f>IF(P110=0,0,VLOOKUP(P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D110" s="111">
        <f>IF(Q110=0,0,VLOOKUP(Q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E110" s="111">
        <f>IF(R110=0,0,VLOOKUP(R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F110" s="111">
        <f>IF(S110=0,0,VLOOKUP(S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G110" s="111">
        <f>IF(T110=0,0,VLOOKUP(T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H110" s="111">
        <f>IF(U110=0,0,VLOOKUP(U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I110" s="111">
        <f>IF(V110=0,0,VLOOKUP(V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J110" s="111">
        <f>IF(W110=0,0,VLOOKUP(W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K110" s="704"/>
      <c r="L110" s="707"/>
      <c r="M110" s="51" t="s">
        <v>311</v>
      </c>
      <c r="N110" s="400" t="s">
        <v>197</v>
      </c>
      <c r="O110" s="397" t="s">
        <v>142</v>
      </c>
      <c r="P110" s="398" t="s">
        <v>24</v>
      </c>
      <c r="Q110" s="398"/>
      <c r="R110" s="284"/>
      <c r="S110" s="284"/>
      <c r="T110" s="284"/>
      <c r="U110" s="285"/>
      <c r="V110" s="285"/>
      <c r="W110" s="286"/>
      <c r="X110" s="710"/>
      <c r="Y110" s="710"/>
      <c r="Z110" s="710"/>
      <c r="AA110" s="710"/>
      <c r="AB110" s="88" t="s">
        <v>29</v>
      </c>
    </row>
    <row r="111" spans="1:28" ht="11.25" customHeight="1" x14ac:dyDescent="0.25">
      <c r="A111" s="111">
        <f>IF(N111=0,0,VLOOKUP(N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B111" s="111">
        <f>IF(O111=0,0,VLOOKUP(O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C111" s="111">
        <f>IF(P111=0,0,VLOOKUP(P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D111" s="111">
        <f>IF(Q111=0,0,VLOOKUP(Q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E111" s="111">
        <f>IF(R111=0,0,VLOOKUP(R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F111" s="111">
        <f>IF(S111=0,0,VLOOKUP(S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G111" s="111">
        <f>IF(T111=0,0,VLOOKUP(T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H111" s="111">
        <f>IF(U111=0,0,VLOOKUP(U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I111" s="111">
        <f>IF(V111=0,0,VLOOKUP(V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J111" s="111">
        <f>IF(W111=0,0,VLOOKUP(W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K111" s="705"/>
      <c r="L111" s="708"/>
      <c r="M111" s="52" t="s">
        <v>309</v>
      </c>
      <c r="N111" s="412" t="s">
        <v>142</v>
      </c>
      <c r="O111" s="406"/>
      <c r="P111" s="406"/>
      <c r="Q111" s="406"/>
      <c r="R111" s="289"/>
      <c r="S111" s="289"/>
      <c r="T111" s="289"/>
      <c r="U111" s="290"/>
      <c r="V111" s="290"/>
      <c r="W111" s="291"/>
      <c r="X111" s="711"/>
      <c r="Y111" s="711"/>
      <c r="Z111" s="711"/>
      <c r="AA111" s="711"/>
      <c r="AB111" s="88" t="s">
        <v>29</v>
      </c>
    </row>
    <row r="112" spans="1:28" ht="11.25" customHeight="1" x14ac:dyDescent="0.25">
      <c r="A112" s="111">
        <f>IF(N112=0,0,VLOOKUP(N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B112" s="111">
        <f>IF(O112=0,0,VLOOKUP(O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4</v>
      </c>
      <c r="C112" s="111">
        <f>IF(P112=0,0,VLOOKUP(P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D112" s="111">
        <f>IF(Q112=0,0,VLOOKUP(Q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E112" s="111">
        <f>IF(R112=0,0,VLOOKUP(R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F112" s="111">
        <f>IF(S112=0,0,VLOOKUP(S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G112" s="111">
        <f>IF(T112=0,0,VLOOKUP(T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H112" s="111">
        <f>IF(U112=0,0,VLOOKUP(U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I112" s="111">
        <f>IF(V112=0,0,VLOOKUP(V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J112" s="111">
        <f>IF(W112=0,0,VLOOKUP(W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K112" s="713" t="s">
        <v>79</v>
      </c>
      <c r="L112" s="706" t="str">
        <f>IF(K112=0,0,VLOOKUP(K112,CBGV!$B$4:$M$68,12,0))</f>
        <v>11A1</v>
      </c>
      <c r="M112" s="54" t="s">
        <v>186</v>
      </c>
      <c r="N112" s="400" t="s">
        <v>18</v>
      </c>
      <c r="O112" s="401" t="s">
        <v>138</v>
      </c>
      <c r="P112" s="402" t="s">
        <v>196</v>
      </c>
      <c r="Q112" s="402"/>
      <c r="R112" s="403"/>
      <c r="S112" s="279"/>
      <c r="T112" s="279"/>
      <c r="U112" s="280"/>
      <c r="V112" s="280"/>
      <c r="W112" s="281"/>
      <c r="X112" s="706">
        <f>IF(K112=0,0,VLOOKUP(K112,CBGV!$B$4:$P$68,14,0))+IF(L112=0,0,VLOOKUP(L112,'T-L-K'!$B$7:$BH$36,2,0))</f>
        <v>5</v>
      </c>
      <c r="Y112" s="716">
        <f>SUM(A112:J114)</f>
        <v>16</v>
      </c>
      <c r="Z112" s="716">
        <f>SUM(A112:J114)+X112</f>
        <v>21</v>
      </c>
      <c r="AA112" s="706">
        <f>IF((Z112-(VLOOKUP(K112,CBGV!$B$4:$P$68,13,0)))&lt;=-14,"/",(Z112-(VLOOKUP(K112,CBGV!$B$4:$P$68,13,0))))</f>
        <v>4</v>
      </c>
      <c r="AB112" s="88" t="s">
        <v>29</v>
      </c>
    </row>
    <row r="113" spans="1:28" ht="11.25" customHeight="1" x14ac:dyDescent="0.25">
      <c r="A113" s="111">
        <f>IF(N113=0,0,VLOOKUP(N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B113" s="111">
        <f>IF(O113=0,0,VLOOKUP(O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C113" s="111">
        <f>IF(P113=0,0,VLOOKUP(P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D113" s="111">
        <f>IF(Q113=0,0,VLOOKUP(Q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E113" s="111">
        <f>IF(R113=0,0,VLOOKUP(R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F113" s="111">
        <f>IF(S113=0,0,VLOOKUP(S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G113" s="111">
        <f>IF(T113=0,0,VLOOKUP(T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H113" s="111">
        <f>IF(U113=0,0,VLOOKUP(U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I113" s="111">
        <f>IF(V113=0,0,VLOOKUP(V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J113" s="111">
        <f>IF(W113=0,0,VLOOKUP(W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K113" s="714"/>
      <c r="L113" s="707"/>
      <c r="M113" s="55" t="s">
        <v>311</v>
      </c>
      <c r="N113" s="400" t="s">
        <v>18</v>
      </c>
      <c r="O113" s="398" t="s">
        <v>138</v>
      </c>
      <c r="P113" s="398" t="s">
        <v>196</v>
      </c>
      <c r="Q113" s="398" t="s">
        <v>203</v>
      </c>
      <c r="R113" s="399" t="s">
        <v>204</v>
      </c>
      <c r="S113" s="284"/>
      <c r="T113" s="284"/>
      <c r="U113" s="285"/>
      <c r="V113" s="285"/>
      <c r="W113" s="286"/>
      <c r="X113" s="707"/>
      <c r="Y113" s="707"/>
      <c r="Z113" s="707"/>
      <c r="AA113" s="707"/>
      <c r="AB113" s="88" t="s">
        <v>29</v>
      </c>
    </row>
    <row r="114" spans="1:28" ht="11.25" customHeight="1" x14ac:dyDescent="0.25">
      <c r="A114" s="111">
        <f>IF(N114=0,0,VLOOKUP(N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B114" s="111">
        <f>IF(O114=0,0,VLOOKUP(O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C114" s="111">
        <f>IF(P114=0,0,VLOOKUP(P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D114" s="111">
        <f>IF(Q114=0,0,VLOOKUP(Q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E114" s="111">
        <f>IF(R114=0,0,VLOOKUP(R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F114" s="111">
        <f>IF(S114=0,0,VLOOKUP(S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G114" s="111">
        <f>IF(T114=0,0,VLOOKUP(T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H114" s="111">
        <f>IF(U114=0,0,VLOOKUP(U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I114" s="111">
        <f>IF(V114=0,0,VLOOKUP(V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J114" s="111">
        <f>IF(W114=0,0,VLOOKUP(W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K114" s="715"/>
      <c r="L114" s="708"/>
      <c r="M114" s="56" t="s">
        <v>309</v>
      </c>
      <c r="N114" s="412" t="s">
        <v>18</v>
      </c>
      <c r="O114" s="406"/>
      <c r="P114" s="406"/>
      <c r="Q114" s="406"/>
      <c r="R114" s="407"/>
      <c r="S114" s="289"/>
      <c r="T114" s="289"/>
      <c r="U114" s="290"/>
      <c r="V114" s="290"/>
      <c r="W114" s="291"/>
      <c r="X114" s="708"/>
      <c r="Y114" s="708"/>
      <c r="Z114" s="708"/>
      <c r="AA114" s="708"/>
      <c r="AB114" s="88" t="s">
        <v>29</v>
      </c>
    </row>
    <row r="115" spans="1:28" ht="11.25" customHeight="1" x14ac:dyDescent="0.25">
      <c r="A115" s="111">
        <f>IF(N115=0,0,VLOOKUP(N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B115" s="111">
        <f>IF(O115=0,0,VLOOKUP(O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C115" s="111">
        <f>IF(P115=0,0,VLOOKUP(P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D115" s="111">
        <f>IF(Q115=0,0,VLOOKUP(Q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E115" s="111">
        <f>IF(R115=0,0,VLOOKUP(R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F115" s="111">
        <f>IF(S115=0,0,VLOOKUP(S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G115" s="111">
        <f>IF(T115=0,0,VLOOKUP(T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H115" s="111">
        <f>IF(U115=0,0,VLOOKUP(U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I115" s="111">
        <f>IF(V115=0,0,VLOOKUP(V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J115" s="111">
        <f>IF(W115=0,0,VLOOKUP(W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K115" s="703" t="s">
        <v>81</v>
      </c>
      <c r="L115" s="706" t="str">
        <f>IF(K115=0,0,VLOOKUP(K115,CBGV!$B$4:$M$68,12,0))</f>
        <v>10A1</v>
      </c>
      <c r="M115" s="57" t="s">
        <v>186</v>
      </c>
      <c r="N115" s="400" t="s">
        <v>31</v>
      </c>
      <c r="O115" s="402" t="s">
        <v>148</v>
      </c>
      <c r="P115" s="402" t="s">
        <v>198</v>
      </c>
      <c r="Q115" s="402"/>
      <c r="R115" s="403"/>
      <c r="S115" s="279"/>
      <c r="T115" s="279"/>
      <c r="U115" s="280"/>
      <c r="V115" s="280"/>
      <c r="W115" s="281"/>
      <c r="X115" s="709">
        <f>IF(K115=0,0,VLOOKUP(K115,CBGV!$B$4:$P$68,14,0))+IF(L115=0,0,VLOOKUP(L115,'T-L-K'!$B$7:$BH$36,2,0))</f>
        <v>5</v>
      </c>
      <c r="Y115" s="712">
        <f>SUM(A115:J117)</f>
        <v>16</v>
      </c>
      <c r="Z115" s="712">
        <f>SUM(A115:J117)+X115</f>
        <v>21</v>
      </c>
      <c r="AA115" s="709">
        <f>IF((Z115-(VLOOKUP(K115,CBGV!$B$4:$P$68,13,0)))&lt;=-14,"/",(Z115-(VLOOKUP(K115,CBGV!$B$4:$P$68,13,0))))</f>
        <v>4</v>
      </c>
      <c r="AB115" s="88" t="s">
        <v>29</v>
      </c>
    </row>
    <row r="116" spans="1:28" ht="11.25" customHeight="1" x14ac:dyDescent="0.25">
      <c r="A116" s="111">
        <f>IF(N116=0,0,VLOOKUP(N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B116" s="111">
        <f>IF(O116=0,0,VLOOKUP(O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C116" s="111">
        <f>IF(P116=0,0,VLOOKUP(P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D116" s="111">
        <f>IF(Q116=0,0,VLOOKUP(Q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E116" s="111">
        <f>IF(R116=0,0,VLOOKUP(R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F116" s="111">
        <f>IF(S116=0,0,VLOOKUP(S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G116" s="111">
        <f>IF(T116=0,0,VLOOKUP(T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H116" s="111">
        <f>IF(U116=0,0,VLOOKUP(U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I116" s="111">
        <f>IF(V116=0,0,VLOOKUP(V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J116" s="111">
        <f>IF(W116=0,0,VLOOKUP(W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K116" s="704"/>
      <c r="L116" s="707"/>
      <c r="M116" s="51" t="s">
        <v>311</v>
      </c>
      <c r="N116" s="400" t="s">
        <v>31</v>
      </c>
      <c r="O116" s="402" t="s">
        <v>148</v>
      </c>
      <c r="P116" s="402" t="s">
        <v>198</v>
      </c>
      <c r="Q116" s="398" t="s">
        <v>201</v>
      </c>
      <c r="R116" s="403" t="s">
        <v>116</v>
      </c>
      <c r="S116" s="284"/>
      <c r="T116" s="284"/>
      <c r="U116" s="285"/>
      <c r="V116" s="285"/>
      <c r="W116" s="286"/>
      <c r="X116" s="710"/>
      <c r="Y116" s="710"/>
      <c r="Z116" s="710"/>
      <c r="AA116" s="710"/>
      <c r="AB116" s="88" t="s">
        <v>29</v>
      </c>
    </row>
    <row r="117" spans="1:28" ht="11.25" customHeight="1" x14ac:dyDescent="0.25">
      <c r="A117" s="111">
        <f>IF(N117=0,0,VLOOKUP(N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B117" s="111">
        <f>IF(O117=0,0,VLOOKUP(O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C117" s="111">
        <f>IF(P117=0,0,VLOOKUP(P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D117" s="111">
        <f>IF(Q117=0,0,VLOOKUP(Q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E117" s="111">
        <f>IF(R117=0,0,VLOOKUP(R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F117" s="111">
        <f>IF(S117=0,0,VLOOKUP(S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G117" s="111">
        <f>IF(T117=0,0,VLOOKUP(T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H117" s="111">
        <f>IF(U117=0,0,VLOOKUP(U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I117" s="111">
        <f>IF(V117=0,0,VLOOKUP(V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J117" s="111">
        <f>IF(W117=0,0,VLOOKUP(W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K117" s="705"/>
      <c r="L117" s="708"/>
      <c r="M117" s="52" t="s">
        <v>309</v>
      </c>
      <c r="N117" s="412" t="s">
        <v>31</v>
      </c>
      <c r="O117" s="410" t="s">
        <v>201</v>
      </c>
      <c r="P117" s="406"/>
      <c r="Q117" s="406"/>
      <c r="R117" s="407"/>
      <c r="S117" s="289"/>
      <c r="T117" s="289"/>
      <c r="U117" s="290"/>
      <c r="V117" s="290"/>
      <c r="W117" s="291"/>
      <c r="X117" s="711"/>
      <c r="Y117" s="711"/>
      <c r="Z117" s="711"/>
      <c r="AA117" s="711"/>
      <c r="AB117" s="88" t="s">
        <v>29</v>
      </c>
    </row>
    <row r="118" spans="1:28" ht="11.25" customHeight="1" x14ac:dyDescent="0.25">
      <c r="A118" s="111">
        <f>IF(N118=0,0,VLOOKUP(N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B118" s="111">
        <f>IF(O118=0,0,VLOOKUP(O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C118" s="111">
        <f>IF(P118=0,0,VLOOKUP(P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D118" s="111">
        <f>IF(Q118=0,0,VLOOKUP(Q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E118" s="111">
        <f>IF(R118=0,0,VLOOKUP(R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F118" s="111">
        <f>IF(S118=0,0,VLOOKUP(S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G118" s="111">
        <f>IF(T118=0,0,VLOOKUP(T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H118" s="111">
        <f>IF(U118=0,0,VLOOKUP(U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I118" s="111">
        <f>IF(V118=0,0,VLOOKUP(V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J118" s="111">
        <f>IF(W118=0,0,VLOOKUP(W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K118" s="713" t="s">
        <v>83</v>
      </c>
      <c r="L118" s="706">
        <f>IF(K118=0,0,VLOOKUP(K118,CBGV!$B$4:$M$68,12,0))</f>
        <v>0</v>
      </c>
      <c r="M118" s="54" t="s">
        <v>187</v>
      </c>
      <c r="N118" s="277" t="s">
        <v>30</v>
      </c>
      <c r="O118" s="278" t="s">
        <v>213</v>
      </c>
      <c r="P118" s="278" t="s">
        <v>215</v>
      </c>
      <c r="Q118" s="278" t="s">
        <v>219</v>
      </c>
      <c r="R118" s="279"/>
      <c r="S118" s="279"/>
      <c r="T118" s="279"/>
      <c r="U118" s="280"/>
      <c r="V118" s="280"/>
      <c r="W118" s="281"/>
      <c r="X118" s="706">
        <f>IF(K118=0,0,VLOOKUP(K118,CBGV!$B$4:$P$68,14,0))+IF(L118=0,0,VLOOKUP(L118,'T-L-K'!$B$7:$BH$36,2,0))</f>
        <v>3</v>
      </c>
      <c r="Y118" s="716">
        <f>SUM(A118:J120)</f>
        <v>17</v>
      </c>
      <c r="Z118" s="716">
        <f>SUM(A118:J120)+X118</f>
        <v>20</v>
      </c>
      <c r="AA118" s="706">
        <f>IF((Z118-(VLOOKUP(K118,CBGV!$B$4:$P$68,13,0)))&lt;=-14,"/",(Z118-(VLOOKUP(K118,CBGV!$B$4:$P$68,13,0))))</f>
        <v>3</v>
      </c>
      <c r="AB118" s="88" t="s">
        <v>84</v>
      </c>
    </row>
    <row r="119" spans="1:28" ht="11.25" customHeight="1" x14ac:dyDescent="0.25">
      <c r="A119" s="111">
        <f>IF(N119=0,0,VLOOKUP(N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2</v>
      </c>
      <c r="B119" s="111">
        <f>IF(O119=0,0,VLOOKUP(O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C119" s="111">
        <f>IF(P119=0,0,VLOOKUP(P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D119" s="111">
        <f>IF(Q119=0,0,VLOOKUP(Q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E119" s="111">
        <f>IF(R119=0,0,VLOOKUP(R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2</v>
      </c>
      <c r="F119" s="111">
        <f>IF(S119=0,0,VLOOKUP(S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G119" s="111">
        <f>IF(T119=0,0,VLOOKUP(T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H119" s="111">
        <f>IF(U119=0,0,VLOOKUP(U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I119" s="111">
        <f>IF(V119=0,0,VLOOKUP(V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J119" s="111">
        <f>IF(W119=0,0,VLOOKUP(W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K119" s="714"/>
      <c r="L119" s="707"/>
      <c r="M119" s="55" t="s">
        <v>187</v>
      </c>
      <c r="N119" s="282" t="s">
        <v>18</v>
      </c>
      <c r="O119" s="283" t="s">
        <v>124</v>
      </c>
      <c r="P119" s="283" t="s">
        <v>138</v>
      </c>
      <c r="Q119" s="283" t="s">
        <v>204</v>
      </c>
      <c r="R119" s="284" t="s">
        <v>305</v>
      </c>
      <c r="S119" s="284"/>
      <c r="T119" s="284"/>
      <c r="U119" s="285"/>
      <c r="V119" s="285"/>
      <c r="W119" s="286"/>
      <c r="X119" s="707"/>
      <c r="Y119" s="707"/>
      <c r="Z119" s="707"/>
      <c r="AA119" s="707"/>
      <c r="AB119" s="88" t="s">
        <v>84</v>
      </c>
    </row>
    <row r="120" spans="1:28" ht="11.25" customHeight="1" x14ac:dyDescent="0.25">
      <c r="A120" s="111">
        <f>IF(N120=0,0,VLOOKUP(N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B120" s="111">
        <f>IF(O120=0,0,VLOOKUP(O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C120" s="111">
        <f>IF(P120=0,0,VLOOKUP(P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D120" s="111">
        <f>IF(Q120=0,0,VLOOKUP(Q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E120" s="111">
        <f>IF(R120=0,0,VLOOKUP(R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F120" s="111">
        <f>IF(S120=0,0,VLOOKUP(S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G120" s="111">
        <f>IF(T120=0,0,VLOOKUP(T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H120" s="111">
        <f>IF(U120=0,0,VLOOKUP(U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I120" s="111">
        <f>IF(V120=0,0,VLOOKUP(V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J120" s="111">
        <f>IF(W120=0,0,VLOOKUP(W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K120" s="715"/>
      <c r="L120" s="708"/>
      <c r="M120" s="56" t="s">
        <v>311</v>
      </c>
      <c r="N120" s="287" t="s">
        <v>18</v>
      </c>
      <c r="O120" s="288" t="s">
        <v>219</v>
      </c>
      <c r="P120" s="288"/>
      <c r="Q120" s="288"/>
      <c r="R120" s="289"/>
      <c r="S120" s="289"/>
      <c r="T120" s="289"/>
      <c r="U120" s="290"/>
      <c r="V120" s="290"/>
      <c r="W120" s="291"/>
      <c r="X120" s="708"/>
      <c r="Y120" s="708"/>
      <c r="Z120" s="708"/>
      <c r="AA120" s="708"/>
      <c r="AB120" s="88" t="s">
        <v>84</v>
      </c>
    </row>
    <row r="121" spans="1:28" ht="11.25" customHeight="1" x14ac:dyDescent="0.25">
      <c r="A121" s="111">
        <f>IF(N121=0,0,VLOOKUP(N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B121" s="111">
        <f>IF(O121=0,0,VLOOKUP(O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C121" s="111">
        <f>IF(P121=0,0,VLOOKUP(P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D121" s="111">
        <f>IF(Q121=0,0,VLOOKUP(Q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E121" s="111">
        <f>IF(R121=0,0,VLOOKUP(R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F121" s="111">
        <f>IF(S121=0,0,VLOOKUP(S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G121" s="111">
        <f>IF(T121=0,0,VLOOKUP(T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H121" s="111">
        <f>IF(U121=0,0,VLOOKUP(U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I121" s="111">
        <f>IF(V121=0,0,VLOOKUP(V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J121" s="111">
        <f>IF(W121=0,0,VLOOKUP(W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K121" s="703" t="s">
        <v>85</v>
      </c>
      <c r="L121" s="706" t="str">
        <f>IF(K121=0,0,VLOOKUP(K121,CBGV!$B$4:$M$68,12,0))</f>
        <v>12A10</v>
      </c>
      <c r="M121" s="57" t="s">
        <v>187</v>
      </c>
      <c r="N121" s="277" t="s">
        <v>478</v>
      </c>
      <c r="O121" s="278" t="s">
        <v>27</v>
      </c>
      <c r="P121" s="278" t="s">
        <v>214</v>
      </c>
      <c r="Q121" s="278"/>
      <c r="R121" s="279"/>
      <c r="S121" s="279"/>
      <c r="T121" s="279"/>
      <c r="U121" s="280"/>
      <c r="V121" s="280"/>
      <c r="W121" s="281"/>
      <c r="X121" s="709">
        <f>IF(K121=0,0,VLOOKUP(K121,CBGV!$B$4:$P$68,14,0))+IF(L121=0,0,VLOOKUP(L121,'T-L-K'!$B$7:$BH$36,2,0))</f>
        <v>5</v>
      </c>
      <c r="Y121" s="712">
        <f>SUM(A121:J123)</f>
        <v>13</v>
      </c>
      <c r="Z121" s="712">
        <f>SUM(A121:J123)+X121</f>
        <v>18</v>
      </c>
      <c r="AA121" s="709">
        <f>IF((Z121-(VLOOKUP(K121,CBGV!$B$4:$P$68,13,0)))&lt;=-14,"/",(Z121-(VLOOKUP(K121,CBGV!$B$4:$P$68,13,0))))</f>
        <v>1</v>
      </c>
      <c r="AB121" s="88" t="s">
        <v>84</v>
      </c>
    </row>
    <row r="122" spans="1:28" ht="11.25" customHeight="1" x14ac:dyDescent="0.25">
      <c r="A122" s="111">
        <f>IF(N122=0,0,VLOOKUP(N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B122" s="111">
        <f>IF(O122=0,0,VLOOKUP(O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C122" s="111">
        <f>IF(P122=0,0,VLOOKUP(P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D122" s="111">
        <f>IF(Q122=0,0,VLOOKUP(Q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E122" s="111">
        <f>IF(R122=0,0,VLOOKUP(R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F122" s="111">
        <f>IF(S122=0,0,VLOOKUP(S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G122" s="111">
        <f>IF(T122=0,0,VLOOKUP(T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H122" s="111">
        <f>IF(U122=0,0,VLOOKUP(U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I122" s="111">
        <f>IF(V122=0,0,VLOOKUP(V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J122" s="111">
        <f>IF(W122=0,0,VLOOKUP(W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K122" s="704"/>
      <c r="L122" s="707"/>
      <c r="M122" s="51" t="s">
        <v>187</v>
      </c>
      <c r="N122" s="282" t="s">
        <v>24</v>
      </c>
      <c r="O122" s="283" t="s">
        <v>142</v>
      </c>
      <c r="P122" s="283" t="s">
        <v>201</v>
      </c>
      <c r="Q122" s="283" t="s">
        <v>202</v>
      </c>
      <c r="R122" s="284" t="s">
        <v>203</v>
      </c>
      <c r="S122" s="284"/>
      <c r="T122" s="284"/>
      <c r="U122" s="285"/>
      <c r="V122" s="285"/>
      <c r="W122" s="286"/>
      <c r="X122" s="710"/>
      <c r="Y122" s="710"/>
      <c r="Z122" s="710"/>
      <c r="AA122" s="710"/>
      <c r="AB122" s="88" t="s">
        <v>84</v>
      </c>
    </row>
    <row r="123" spans="1:28" ht="11.25" customHeight="1" x14ac:dyDescent="0.25">
      <c r="A123" s="111">
        <f>IF(N123=0,0,VLOOKUP(N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B123" s="111">
        <f>IF(O123=0,0,VLOOKUP(O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C123" s="111">
        <f>IF(P123=0,0,VLOOKUP(P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D123" s="111">
        <f>IF(Q123=0,0,VLOOKUP(Q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E123" s="111">
        <f>IF(R123=0,0,VLOOKUP(R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F123" s="111">
        <f>IF(S123=0,0,VLOOKUP(S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G123" s="111">
        <f>IF(T123=0,0,VLOOKUP(T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H123" s="111">
        <f>IF(U123=0,0,VLOOKUP(U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I123" s="111">
        <f>IF(V123=0,0,VLOOKUP(V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J123" s="111">
        <f>IF(W123=0,0,VLOOKUP(W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K123" s="705"/>
      <c r="L123" s="708"/>
      <c r="M123" s="52" t="s">
        <v>311</v>
      </c>
      <c r="N123" s="287" t="s">
        <v>27</v>
      </c>
      <c r="O123" s="288" t="s">
        <v>478</v>
      </c>
      <c r="P123" s="288"/>
      <c r="Q123" s="288"/>
      <c r="R123" s="289"/>
      <c r="S123" s="289"/>
      <c r="T123" s="289"/>
      <c r="U123" s="290"/>
      <c r="V123" s="290"/>
      <c r="W123" s="291"/>
      <c r="X123" s="711"/>
      <c r="Y123" s="711"/>
      <c r="Z123" s="711"/>
      <c r="AA123" s="711"/>
      <c r="AB123" s="88" t="s">
        <v>84</v>
      </c>
    </row>
    <row r="124" spans="1:28" ht="11.25" customHeight="1" x14ac:dyDescent="0.25">
      <c r="A124" s="111">
        <f>IF(N124=0,0,VLOOKUP(N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B124" s="111">
        <f>IF(O124=0,0,VLOOKUP(O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C124" s="111">
        <f>IF(P124=0,0,VLOOKUP(P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D124" s="111">
        <f>IF(Q124=0,0,VLOOKUP(Q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E124" s="111">
        <f>IF(R124=0,0,VLOOKUP(R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F124" s="111">
        <f>IF(S124=0,0,VLOOKUP(S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G124" s="111">
        <f>IF(T124=0,0,VLOOKUP(T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H124" s="111">
        <f>IF(U124=0,0,VLOOKUP(U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I124" s="111">
        <f>IF(V124=0,0,VLOOKUP(V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J124" s="111">
        <f>IF(W124=0,0,VLOOKUP(W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K124" s="713" t="s">
        <v>86</v>
      </c>
      <c r="L124" s="706">
        <f>IF(K124=0,0,VLOOKUP(K124,CBGV!$B$4:$M$68,12,0))</f>
        <v>0</v>
      </c>
      <c r="M124" s="54" t="s">
        <v>187</v>
      </c>
      <c r="N124" s="277" t="s">
        <v>20</v>
      </c>
      <c r="O124" s="278" t="s">
        <v>140</v>
      </c>
      <c r="P124" s="278" t="s">
        <v>173</v>
      </c>
      <c r="Q124" s="278"/>
      <c r="R124" s="279"/>
      <c r="S124" s="279"/>
      <c r="T124" s="279"/>
      <c r="U124" s="280"/>
      <c r="V124" s="280"/>
      <c r="W124" s="281"/>
      <c r="X124" s="706">
        <f>IF(K124=0,0,VLOOKUP(K124,CBGV!$B$4:$P$68,14,0))+IF(L124=0,0,VLOOKUP(L124,'T-L-K'!$B$7:$BH$36,2,0))</f>
        <v>0</v>
      </c>
      <c r="Y124" s="716">
        <f>SUM(A124:J126)</f>
        <v>13</v>
      </c>
      <c r="Z124" s="716">
        <f>SUM(A124:J126)+X124</f>
        <v>13</v>
      </c>
      <c r="AA124" s="706">
        <f>IF((Z124-(VLOOKUP(K124,CBGV!$B$4:$P$68,13,0)))&lt;=-14,"/",(Z124-(VLOOKUP(K124,CBGV!$B$4:$P$68,13,0))))</f>
        <v>-4</v>
      </c>
      <c r="AB124" s="88" t="s">
        <v>84</v>
      </c>
    </row>
    <row r="125" spans="1:28" ht="11.25" customHeight="1" x14ac:dyDescent="0.25">
      <c r="A125" s="111">
        <f>IF(N125=0,0,VLOOKUP(N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B125" s="111">
        <f>IF(O125=0,0,VLOOKUP(O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C125" s="111">
        <f>IF(P125=0,0,VLOOKUP(P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D125" s="111">
        <f>IF(Q125=0,0,VLOOKUP(Q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E125" s="111">
        <f>IF(R125=0,0,VLOOKUP(R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F125" s="111">
        <f>IF(S125=0,0,VLOOKUP(S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G125" s="111">
        <f>IF(T125=0,0,VLOOKUP(T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H125" s="111">
        <f>IF(U125=0,0,VLOOKUP(U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I125" s="111">
        <f>IF(V125=0,0,VLOOKUP(V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J125" s="111">
        <f>IF(W125=0,0,VLOOKUP(W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K125" s="714"/>
      <c r="L125" s="707"/>
      <c r="M125" s="55" t="s">
        <v>311</v>
      </c>
      <c r="N125" s="282" t="s">
        <v>31</v>
      </c>
      <c r="O125" s="283" t="s">
        <v>21</v>
      </c>
      <c r="P125" s="283" t="s">
        <v>148</v>
      </c>
      <c r="Q125" s="283" t="s">
        <v>197</v>
      </c>
      <c r="R125" s="284" t="s">
        <v>198</v>
      </c>
      <c r="S125" s="284"/>
      <c r="T125" s="284"/>
      <c r="U125" s="285"/>
      <c r="V125" s="285"/>
      <c r="W125" s="286"/>
      <c r="X125" s="707"/>
      <c r="Y125" s="707"/>
      <c r="Z125" s="707"/>
      <c r="AA125" s="707"/>
      <c r="AB125" s="88" t="s">
        <v>84</v>
      </c>
    </row>
    <row r="126" spans="1:28" ht="11.25" customHeight="1" x14ac:dyDescent="0.25">
      <c r="A126" s="111">
        <f>IF(N126=0,0,VLOOKUP(N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B126" s="111">
        <f>IF(O126=0,0,VLOOKUP(O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C126" s="111">
        <f>IF(P126=0,0,VLOOKUP(P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D126" s="111">
        <f>IF(Q126=0,0,VLOOKUP(Q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E126" s="111">
        <f>IF(R126=0,0,VLOOKUP(R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F126" s="111">
        <f>IF(S126=0,0,VLOOKUP(S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G126" s="111">
        <f>IF(T126=0,0,VLOOKUP(T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H126" s="111">
        <f>IF(U126=0,0,VLOOKUP(U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I126" s="111">
        <f>IF(V126=0,0,VLOOKUP(V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J126" s="111">
        <f>IF(W126=0,0,VLOOKUP(W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K126" s="715"/>
      <c r="L126" s="708"/>
      <c r="M126" s="56" t="s">
        <v>309</v>
      </c>
      <c r="N126" s="287" t="s">
        <v>20</v>
      </c>
      <c r="O126" s="288" t="s">
        <v>140</v>
      </c>
      <c r="P126" s="288"/>
      <c r="Q126" s="288"/>
      <c r="R126" s="289"/>
      <c r="S126" s="289"/>
      <c r="T126" s="289"/>
      <c r="U126" s="290"/>
      <c r="V126" s="290"/>
      <c r="W126" s="291"/>
      <c r="X126" s="708"/>
      <c r="Y126" s="708"/>
      <c r="Z126" s="708"/>
      <c r="AA126" s="708"/>
      <c r="AB126" s="88" t="s">
        <v>84</v>
      </c>
    </row>
    <row r="127" spans="1:28" ht="11.25" customHeight="1" x14ac:dyDescent="0.25">
      <c r="A127" s="111">
        <f>IF(N127=0,0,VLOOKUP(N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B127" s="111">
        <f>IF(O127=0,0,VLOOKUP(O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C127" s="111">
        <f>IF(P127=0,0,VLOOKUP(P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D127" s="111">
        <f>IF(Q127=0,0,VLOOKUP(Q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E127" s="111">
        <f>IF(R127=0,0,VLOOKUP(R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F127" s="111">
        <f>IF(S127=0,0,VLOOKUP(S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G127" s="111">
        <f>IF(T127=0,0,VLOOKUP(T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H127" s="111">
        <f>IF(U127=0,0,VLOOKUP(U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I127" s="111">
        <f>IF(V127=0,0,VLOOKUP(V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J127" s="111">
        <f>IF(W127=0,0,VLOOKUP(W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K127" s="703" t="s">
        <v>504</v>
      </c>
      <c r="L127" s="706" t="str">
        <f>IF(K127=0,0,VLOOKUP(K127,CBGV!$B$4:$M$68,12,0))</f>
        <v>10A5</v>
      </c>
      <c r="M127" s="57" t="s">
        <v>187</v>
      </c>
      <c r="N127" s="277" t="s">
        <v>121</v>
      </c>
      <c r="O127" s="278" t="s">
        <v>116</v>
      </c>
      <c r="P127" s="278" t="s">
        <v>196</v>
      </c>
      <c r="Q127" s="278"/>
      <c r="R127" s="279"/>
      <c r="S127" s="279"/>
      <c r="T127" s="279"/>
      <c r="U127" s="280"/>
      <c r="V127" s="280"/>
      <c r="W127" s="390"/>
      <c r="X127" s="281"/>
      <c r="Y127" s="712">
        <f>SUM(A127:J129)</f>
        <v>26</v>
      </c>
      <c r="Z127" s="712">
        <f>SUM(A127:J129)+X127</f>
        <v>26</v>
      </c>
      <c r="AA127" s="709">
        <f>IF((Z127-(VLOOKUP(K127,CBGV!$B$4:$P$68,13,0)))&lt;=-14,"/",(Z127-(VLOOKUP(K127,CBGV!$B$4:$P$68,13,0))))</f>
        <v>9</v>
      </c>
      <c r="AB127" s="88" t="s">
        <v>84</v>
      </c>
    </row>
    <row r="128" spans="1:28" ht="11.25" customHeight="1" x14ac:dyDescent="0.25">
      <c r="A128" s="111">
        <f>IF(N128=0,0,VLOOKUP(N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B128" s="111">
        <f>IF(O128=0,0,VLOOKUP(O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C128" s="111">
        <f>IF(P128=0,0,VLOOKUP(P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D128" s="111">
        <f>IF(Q128=0,0,VLOOKUP(Q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E128" s="111">
        <f>IF(R128=0,0,VLOOKUP(R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F128" s="111">
        <f>IF(S128=0,0,VLOOKUP(S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G128" s="111">
        <f>IF(T128=0,0,VLOOKUP(T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H128" s="111">
        <f>IF(U128=0,0,VLOOKUP(U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I128" s="111">
        <f>IF(V128=0,0,VLOOKUP(V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J128" s="111">
        <f>IF(W128=0,0,VLOOKUP(W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1</v>
      </c>
      <c r="K128" s="704"/>
      <c r="L128" s="707"/>
      <c r="M128" s="51" t="s">
        <v>311</v>
      </c>
      <c r="N128" s="282" t="s">
        <v>31</v>
      </c>
      <c r="O128" s="283" t="s">
        <v>21</v>
      </c>
      <c r="P128" s="283" t="s">
        <v>148</v>
      </c>
      <c r="Q128" s="277" t="s">
        <v>121</v>
      </c>
      <c r="R128" s="284" t="s">
        <v>116</v>
      </c>
      <c r="S128" s="284" t="s">
        <v>196</v>
      </c>
      <c r="T128" s="284" t="s">
        <v>197</v>
      </c>
      <c r="U128" s="285" t="s">
        <v>198</v>
      </c>
      <c r="V128" s="285" t="s">
        <v>24</v>
      </c>
      <c r="W128" s="391" t="s">
        <v>142</v>
      </c>
      <c r="X128" s="286" t="s">
        <v>124</v>
      </c>
      <c r="Y128" s="710"/>
      <c r="Z128" s="710"/>
      <c r="AA128" s="710"/>
      <c r="AB128" s="88" t="s">
        <v>84</v>
      </c>
    </row>
    <row r="129" spans="1:28" ht="11.25" customHeight="1" x14ac:dyDescent="0.25">
      <c r="A129" s="111">
        <f>IF(N129=0,0,VLOOKUP(N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B129" s="111">
        <f>IF(O129=0,0,VLOOKUP(O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C129" s="111">
        <f>IF(P129=0,0,VLOOKUP(P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D129" s="111">
        <f>IF(Q129=0,0,VLOOKUP(Q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E129" s="111">
        <f>IF(R129=0,0,VLOOKUP(R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F129" s="111">
        <f>IF(S129=0,0,VLOOKUP(S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G129" s="111">
        <f>IF(T129=0,0,VLOOKUP(T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H129" s="111">
        <f>IF(U129=0,0,VLOOKUP(U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I129" s="111">
        <f>IF(V129=0,0,VLOOKUP(V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J129" s="111">
        <f>IF(W129=0,0,VLOOKUP(W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K129" s="705"/>
      <c r="L129" s="708"/>
      <c r="M129" s="52" t="s">
        <v>309</v>
      </c>
      <c r="N129" s="288" t="s">
        <v>138</v>
      </c>
      <c r="O129" s="289" t="s">
        <v>201</v>
      </c>
      <c r="P129" s="289" t="s">
        <v>202</v>
      </c>
      <c r="Q129" s="289" t="s">
        <v>203</v>
      </c>
      <c r="R129" s="289" t="s">
        <v>204</v>
      </c>
      <c r="S129" s="289" t="s">
        <v>305</v>
      </c>
      <c r="T129" s="284" t="s">
        <v>30</v>
      </c>
      <c r="U129" s="280" t="s">
        <v>173</v>
      </c>
      <c r="V129" s="280" t="s">
        <v>213</v>
      </c>
      <c r="W129" s="392" t="s">
        <v>214</v>
      </c>
      <c r="X129" s="291" t="s">
        <v>215</v>
      </c>
      <c r="Y129" s="711"/>
      <c r="Z129" s="711"/>
      <c r="AA129" s="711"/>
      <c r="AB129" s="88" t="s">
        <v>84</v>
      </c>
    </row>
    <row r="130" spans="1:28" ht="11.25" customHeight="1" x14ac:dyDescent="0.25">
      <c r="A130" s="111">
        <f>IF(N130=0,0,VLOOKUP(N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B130" s="111">
        <f>IF(O130=0,0,VLOOKUP(O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C130" s="111">
        <f>IF(P130=0,0,VLOOKUP(P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D130" s="111">
        <f>IF(Q130=0,0,VLOOKUP(Q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E130" s="111">
        <f>IF(R130=0,0,VLOOKUP(R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F130" s="111">
        <f>IF(S130=0,0,VLOOKUP(S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G130" s="111">
        <f>IF(T130=0,0,VLOOKUP(T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H130" s="111">
        <f>IF(U130=0,0,VLOOKUP(U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I130" s="111">
        <f>IF(V130=0,0,VLOOKUP(V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J130" s="111">
        <f>IF(W130=0,0,VLOOKUP(W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K130" s="713" t="s">
        <v>88</v>
      </c>
      <c r="L130" s="706">
        <f>IF(K130=0,0,VLOOKUP(K130,CBGV!$B$4:$M$68,12,0))</f>
        <v>0</v>
      </c>
      <c r="M130" s="54" t="s">
        <v>312</v>
      </c>
      <c r="N130" s="277" t="s">
        <v>140</v>
      </c>
      <c r="O130" s="278" t="s">
        <v>173</v>
      </c>
      <c r="P130" s="278" t="s">
        <v>219</v>
      </c>
      <c r="Q130" s="278" t="s">
        <v>478</v>
      </c>
      <c r="R130" s="279" t="s">
        <v>21</v>
      </c>
      <c r="S130" s="279" t="s">
        <v>148</v>
      </c>
      <c r="T130" s="279" t="s">
        <v>116</v>
      </c>
      <c r="U130" s="280"/>
      <c r="V130" s="280"/>
      <c r="W130" s="281"/>
      <c r="X130" s="706">
        <f>IF(K130=0,0,VLOOKUP(K130,CBGV!$B$4:$P$68,14,0))+IF(L130=0,0,VLOOKUP(L130,'T-L-K'!$B$7:$BH$36,2,0))</f>
        <v>1</v>
      </c>
      <c r="Y130" s="716">
        <f>SUM(A130:J132)</f>
        <v>12</v>
      </c>
      <c r="Z130" s="716">
        <f>SUM(A130:J132)+X130</f>
        <v>13</v>
      </c>
      <c r="AA130" s="706">
        <f>IF((Z130-(VLOOKUP(K130,CBGV!$B$4:$P$68,13,0)))&lt;=-14,"/",(Z130-(VLOOKUP(K130,CBGV!$B$4:$P$68,13,0))))</f>
        <v>-4</v>
      </c>
      <c r="AB130" s="88" t="s">
        <v>84</v>
      </c>
    </row>
    <row r="131" spans="1:28" ht="11.25" customHeight="1" x14ac:dyDescent="0.25">
      <c r="A131" s="111">
        <f>IF(N131=0,0,VLOOKUP(N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B131" s="111">
        <f>IF(O131=0,0,VLOOKUP(O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C131" s="111">
        <f>IF(P131=0,0,VLOOKUP(P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D131" s="111">
        <f>IF(Q131=0,0,VLOOKUP(Q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E131" s="111">
        <f>IF(R131=0,0,VLOOKUP(R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F131" s="111">
        <f>IF(S131=0,0,VLOOKUP(S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G131" s="111">
        <f>IF(T131=0,0,VLOOKUP(T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H131" s="111">
        <f>IF(U131=0,0,VLOOKUP(U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I131" s="111">
        <f>IF(V131=0,0,VLOOKUP(V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J131" s="111">
        <f>IF(W131=0,0,VLOOKUP(W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K131" s="714"/>
      <c r="L131" s="707"/>
      <c r="M131" s="55" t="s">
        <v>311</v>
      </c>
      <c r="N131" s="282"/>
      <c r="O131" s="283"/>
      <c r="P131" s="283"/>
      <c r="Q131" s="283"/>
      <c r="R131" s="284"/>
      <c r="S131" s="284"/>
      <c r="T131" s="284"/>
      <c r="U131" s="285"/>
      <c r="V131" s="285"/>
      <c r="W131" s="286"/>
      <c r="X131" s="707"/>
      <c r="Y131" s="707"/>
      <c r="Z131" s="707"/>
      <c r="AA131" s="707"/>
      <c r="AB131" s="88" t="s">
        <v>84</v>
      </c>
    </row>
    <row r="132" spans="1:28" ht="11.25" customHeight="1" x14ac:dyDescent="0.25">
      <c r="A132" s="111">
        <f>IF(N132=0,0,VLOOKUP(N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B132" s="111">
        <f>IF(O132=0,0,VLOOKUP(O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C132" s="111">
        <f>IF(P132=0,0,VLOOKUP(P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D132" s="111">
        <f>IF(Q132=0,0,VLOOKUP(Q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E132" s="111">
        <f>IF(R132=0,0,VLOOKUP(R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F132" s="111">
        <f>IF(S132=0,0,VLOOKUP(S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G132" s="111">
        <f>IF(T132=0,0,VLOOKUP(T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H132" s="111">
        <f>IF(U132=0,0,VLOOKUP(U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I132" s="111">
        <f>IF(V132=0,0,VLOOKUP(V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J132" s="111">
        <f>IF(W132=0,0,VLOOKUP(W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K132" s="715"/>
      <c r="L132" s="708"/>
      <c r="M132" s="56" t="s">
        <v>309</v>
      </c>
      <c r="N132" s="287"/>
      <c r="O132" s="288"/>
      <c r="P132" s="288"/>
      <c r="Q132" s="288"/>
      <c r="R132" s="289"/>
      <c r="S132" s="289"/>
      <c r="T132" s="289"/>
      <c r="U132" s="290"/>
      <c r="V132" s="290"/>
      <c r="W132" s="291"/>
      <c r="X132" s="708"/>
      <c r="Y132" s="708"/>
      <c r="Z132" s="708"/>
      <c r="AA132" s="708"/>
      <c r="AB132" s="88" t="s">
        <v>84</v>
      </c>
    </row>
    <row r="133" spans="1:28" ht="11.25" customHeight="1" x14ac:dyDescent="0.25">
      <c r="A133" s="111">
        <f>IF(N133=0,0,VLOOKUP(N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B133" s="111">
        <f>IF(O133=0,0,VLOOKUP(O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C133" s="111">
        <f>IF(P133=0,0,VLOOKUP(P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D133" s="111">
        <f>IF(Q133=0,0,VLOOKUP(Q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E133" s="111">
        <f>IF(R133=0,0,VLOOKUP(R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F133" s="111">
        <f>IF(S133=0,0,VLOOKUP(S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G133" s="111">
        <f>IF(T133=0,0,VLOOKUP(T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H133" s="111">
        <f>IF(U133=0,0,VLOOKUP(U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I133" s="111">
        <f>IF(V133=0,0,VLOOKUP(V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J133" s="111">
        <f>IF(W133=0,0,VLOOKUP(W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K133" s="703" t="s">
        <v>426</v>
      </c>
      <c r="L133" s="706">
        <f>IF(K133=0,0,VLOOKUP(K133,CBGV!$B$4:$M$68,12,0))</f>
        <v>0</v>
      </c>
      <c r="M133" s="57" t="s">
        <v>312</v>
      </c>
      <c r="N133" s="277" t="s">
        <v>31</v>
      </c>
      <c r="O133" s="278" t="s">
        <v>21</v>
      </c>
      <c r="P133" s="278" t="s">
        <v>116</v>
      </c>
      <c r="Q133" s="278" t="s">
        <v>196</v>
      </c>
      <c r="R133" s="279"/>
      <c r="S133" s="279"/>
      <c r="T133" s="279"/>
      <c r="U133" s="280"/>
      <c r="V133" s="280"/>
      <c r="W133" s="281"/>
      <c r="X133" s="709">
        <f>IF(K133=0,0,VLOOKUP(K133,CBGV!$B$4:$P$68,14,0))+IF(L133=0,0,VLOOKUP(L133,'T-L-K'!$B$7:$BH$36,2,0))</f>
        <v>7.5</v>
      </c>
      <c r="Y133" s="712">
        <f>SUM(A133:J135)</f>
        <v>14</v>
      </c>
      <c r="Z133" s="712">
        <f>SUM(A133:J135)+X133</f>
        <v>21.5</v>
      </c>
      <c r="AA133" s="709">
        <f>IF((Z133-(VLOOKUP(K133,CBGV!$B$4:$P$68,13,0)))&lt;=-14,"/",(Z133-(VLOOKUP(K133,CBGV!$B$4:$P$68,13,0))))</f>
        <v>4.5</v>
      </c>
      <c r="AB133" s="88" t="s">
        <v>84</v>
      </c>
    </row>
    <row r="134" spans="1:28" ht="11.25" customHeight="1" x14ac:dyDescent="0.25">
      <c r="A134" s="111">
        <f>IF(N134=0,0,VLOOKUP(N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B134" s="111">
        <f>IF(O134=0,0,VLOOKUP(O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C134" s="111">
        <f>IF(P134=0,0,VLOOKUP(P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D134" s="111">
        <f>IF(Q134=0,0,VLOOKUP(Q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E134" s="111">
        <f>IF(R134=0,0,VLOOKUP(R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F134" s="111">
        <f>IF(S134=0,0,VLOOKUP(S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G134" s="111">
        <f>IF(T134=0,0,VLOOKUP(T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H134" s="111">
        <f>IF(U134=0,0,VLOOKUP(U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I134" s="111">
        <f>IF(V134=0,0,VLOOKUP(V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J134" s="111">
        <f>IF(W134=0,0,VLOOKUP(W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K134" s="704"/>
      <c r="L134" s="707"/>
      <c r="M134" s="51" t="s">
        <v>311</v>
      </c>
      <c r="N134" s="282" t="s">
        <v>31</v>
      </c>
      <c r="O134" s="283" t="s">
        <v>21</v>
      </c>
      <c r="P134" s="283" t="s">
        <v>148</v>
      </c>
      <c r="Q134" s="283" t="s">
        <v>121</v>
      </c>
      <c r="R134" s="284" t="s">
        <v>116</v>
      </c>
      <c r="S134" s="284" t="s">
        <v>201</v>
      </c>
      <c r="T134" s="284" t="s">
        <v>202</v>
      </c>
      <c r="U134" s="285" t="s">
        <v>203</v>
      </c>
      <c r="V134" s="285" t="s">
        <v>204</v>
      </c>
      <c r="W134" s="286" t="s">
        <v>305</v>
      </c>
      <c r="X134" s="710"/>
      <c r="Y134" s="710"/>
      <c r="Z134" s="710"/>
      <c r="AA134" s="710"/>
      <c r="AB134" s="88" t="s">
        <v>84</v>
      </c>
    </row>
    <row r="135" spans="1:28" ht="11.25" customHeight="1" x14ac:dyDescent="0.25">
      <c r="A135" s="111">
        <f>IF(N135=0,0,VLOOKUP(N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B135" s="111">
        <f>IF(O135=0,0,VLOOKUP(O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C135" s="111">
        <f>IF(P135=0,0,VLOOKUP(P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D135" s="111">
        <f>IF(Q135=0,0,VLOOKUP(Q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E135" s="111">
        <f>IF(R135=0,0,VLOOKUP(R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F135" s="111">
        <f>IF(S135=0,0,VLOOKUP(S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G135" s="111">
        <f>IF(T135=0,0,VLOOKUP(T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H135" s="111">
        <f>IF(U135=0,0,VLOOKUP(U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I135" s="111">
        <f>IF(V135=0,0,VLOOKUP(V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J135" s="111">
        <f>IF(W135=0,0,VLOOKUP(W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K135" s="705"/>
      <c r="L135" s="708"/>
      <c r="M135" s="52" t="s">
        <v>311</v>
      </c>
      <c r="N135" s="287"/>
      <c r="O135" s="288"/>
      <c r="P135" s="288"/>
      <c r="Q135" s="288"/>
      <c r="R135" s="289"/>
      <c r="S135" s="289"/>
      <c r="T135" s="289"/>
      <c r="U135" s="290"/>
      <c r="V135" s="290"/>
      <c r="W135" s="291"/>
      <c r="X135" s="711"/>
      <c r="Y135" s="711"/>
      <c r="Z135" s="711"/>
      <c r="AA135" s="711"/>
      <c r="AB135" s="88" t="s">
        <v>84</v>
      </c>
    </row>
    <row r="136" spans="1:28" ht="11.25" customHeight="1" x14ac:dyDescent="0.25">
      <c r="A136" s="111">
        <f>IF(N136=0,0,VLOOKUP(N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B136" s="111">
        <f>IF(O136=0,0,VLOOKUP(O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C136" s="111">
        <f>IF(P136=0,0,VLOOKUP(P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D136" s="111">
        <f>IF(Q136=0,0,VLOOKUP(Q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E136" s="111">
        <f>IF(R136=0,0,VLOOKUP(R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F136" s="111">
        <f>IF(S136=0,0,VLOOKUP(S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G136" s="111">
        <f>IF(T136=0,0,VLOOKUP(T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H136" s="111">
        <f>IF(U136=0,0,VLOOKUP(U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I136" s="111">
        <f>IF(V136=0,0,VLOOKUP(V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J136" s="111">
        <f>IF(W136=0,0,VLOOKUP(W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K136" s="713" t="s">
        <v>90</v>
      </c>
      <c r="L136" s="706" t="str">
        <f>IF(K136=0,0,VLOOKUP(K136,CBGV!$B$4:$M$68,12,0))</f>
        <v>12A8</v>
      </c>
      <c r="M136" s="54" t="s">
        <v>32</v>
      </c>
      <c r="N136" s="277" t="s">
        <v>215</v>
      </c>
      <c r="O136" s="278" t="s">
        <v>478</v>
      </c>
      <c r="P136" s="278"/>
      <c r="Q136" s="278"/>
      <c r="R136" s="279"/>
      <c r="S136" s="279"/>
      <c r="T136" s="279"/>
      <c r="U136" s="280"/>
      <c r="V136" s="280"/>
      <c r="W136" s="281"/>
      <c r="X136" s="706">
        <f>IF(K136=0,0,VLOOKUP(K136,CBGV!$B$4:$P$68,14,0))+IF(L136=0,0,VLOOKUP(L136,'T-L-K'!$B$7:$BH$36,2,0))</f>
        <v>8</v>
      </c>
      <c r="Y136" s="716">
        <f>SUM(A136:J138)</f>
        <v>11</v>
      </c>
      <c r="Z136" s="716">
        <f>SUM(A136:J138)+X136</f>
        <v>19</v>
      </c>
      <c r="AA136" s="706">
        <f>IF((Z136-(VLOOKUP(K136,CBGV!$B$4:$P$68,13,0)))&lt;=-14,"/",(Z136-(VLOOKUP(K136,CBGV!$B$4:$P$68,13,0))))</f>
        <v>2</v>
      </c>
      <c r="AB136" s="88" t="s">
        <v>89</v>
      </c>
    </row>
    <row r="137" spans="1:28" ht="11.25" customHeight="1" x14ac:dyDescent="0.25">
      <c r="A137" s="111">
        <f>IF(N137=0,0,VLOOKUP(N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B137" s="111">
        <f>IF(O137=0,0,VLOOKUP(O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C137" s="111">
        <f>IF(P137=0,0,VLOOKUP(P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D137" s="111">
        <f>IF(Q137=0,0,VLOOKUP(Q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E137" s="111">
        <f>IF(R137=0,0,VLOOKUP(R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F137" s="111">
        <f>IF(S137=0,0,VLOOKUP(S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G137" s="111">
        <f>IF(T137=0,0,VLOOKUP(T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H137" s="111">
        <f>IF(U137=0,0,VLOOKUP(U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I137" s="111">
        <f>IF(V137=0,0,VLOOKUP(V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J137" s="111">
        <f>IF(W137=0,0,VLOOKUP(W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K137" s="714"/>
      <c r="L137" s="707"/>
      <c r="M137" s="55" t="s">
        <v>311</v>
      </c>
      <c r="N137" s="282" t="s">
        <v>20</v>
      </c>
      <c r="O137" s="283" t="s">
        <v>140</v>
      </c>
      <c r="P137" s="283" t="s">
        <v>215</v>
      </c>
      <c r="Q137" s="283" t="s">
        <v>478</v>
      </c>
      <c r="R137" s="284" t="s">
        <v>203</v>
      </c>
      <c r="S137" s="284" t="s">
        <v>204</v>
      </c>
      <c r="T137" s="284" t="s">
        <v>305</v>
      </c>
      <c r="U137" s="285"/>
      <c r="V137" s="285"/>
      <c r="W137" s="286"/>
      <c r="X137" s="707"/>
      <c r="Y137" s="707"/>
      <c r="Z137" s="707"/>
      <c r="AA137" s="707"/>
      <c r="AB137" s="88" t="s">
        <v>89</v>
      </c>
    </row>
    <row r="138" spans="1:28" ht="11.25" customHeight="1" x14ac:dyDescent="0.25">
      <c r="A138" s="111">
        <f>IF(N138=0,0,VLOOKUP(N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1</v>
      </c>
      <c r="B138" s="111">
        <f>IF(O138=0,0,VLOOKUP(O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C138" s="111">
        <f>IF(P138=0,0,VLOOKUP(P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D138" s="111">
        <f>IF(Q138=0,0,VLOOKUP(Q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E138" s="111">
        <f>IF(R138=0,0,VLOOKUP(R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F138" s="111">
        <f>IF(S138=0,0,VLOOKUP(S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G138" s="111">
        <f>IF(T138=0,0,VLOOKUP(T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H138" s="111">
        <f>IF(U138=0,0,VLOOKUP(U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I138" s="111">
        <f>IF(V138=0,0,VLOOKUP(V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J138" s="111">
        <f>IF(W138=0,0,VLOOKUP(W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K138" s="715"/>
      <c r="L138" s="708"/>
      <c r="M138" s="56" t="s">
        <v>309</v>
      </c>
      <c r="N138" s="287" t="s">
        <v>215</v>
      </c>
      <c r="O138" s="288"/>
      <c r="P138" s="288"/>
      <c r="Q138" s="288"/>
      <c r="R138" s="289"/>
      <c r="S138" s="289"/>
      <c r="T138" s="289"/>
      <c r="U138" s="290"/>
      <c r="V138" s="290"/>
      <c r="W138" s="291"/>
      <c r="X138" s="708"/>
      <c r="Y138" s="708"/>
      <c r="Z138" s="708"/>
      <c r="AA138" s="708"/>
      <c r="AB138" s="88" t="s">
        <v>89</v>
      </c>
    </row>
    <row r="139" spans="1:28" ht="11.25" customHeight="1" x14ac:dyDescent="0.25">
      <c r="A139" s="111">
        <f>IF(N139=0,0,VLOOKUP(N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B139" s="111">
        <f>IF(O139=0,0,VLOOKUP(O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C139" s="111">
        <f>IF(P139=0,0,VLOOKUP(P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D139" s="111">
        <f>IF(Q139=0,0,VLOOKUP(Q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E139" s="111">
        <f>IF(R139=0,0,VLOOKUP(R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F139" s="111">
        <f>IF(S139=0,0,VLOOKUP(S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G139" s="111">
        <f>IF(T139=0,0,VLOOKUP(T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H139" s="111">
        <f>IF(U139=0,0,VLOOKUP(U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I139" s="111">
        <f>IF(V139=0,0,VLOOKUP(V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J139" s="111">
        <f>IF(W139=0,0,VLOOKUP(W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K139" s="703" t="s">
        <v>91</v>
      </c>
      <c r="L139" s="706" t="str">
        <f>IF(K139=0,0,VLOOKUP(K139,CBGV!$B$4:$M$68,12,0))</f>
        <v>12A6</v>
      </c>
      <c r="M139" s="57" t="s">
        <v>32</v>
      </c>
      <c r="N139" s="277" t="s">
        <v>213</v>
      </c>
      <c r="O139" s="278" t="s">
        <v>214</v>
      </c>
      <c r="P139" s="278" t="s">
        <v>31</v>
      </c>
      <c r="Q139" s="278"/>
      <c r="R139" s="279"/>
      <c r="S139" s="279"/>
      <c r="T139" s="279"/>
      <c r="U139" s="280"/>
      <c r="V139" s="280"/>
      <c r="W139" s="281"/>
      <c r="X139" s="709">
        <f>IF(K139=0,0,VLOOKUP(K139,CBGV!$B$4:$P$68,14,0))+IF(L139=0,0,VLOOKUP(L139,'T-L-K'!$B$7:$BH$36,2,0))</f>
        <v>5</v>
      </c>
      <c r="Y139" s="712">
        <f>SUM(A139:J141)</f>
        <v>17</v>
      </c>
      <c r="Z139" s="712">
        <f>SUM(A139:J141)+X139</f>
        <v>22</v>
      </c>
      <c r="AA139" s="709">
        <f>IF((Z139-(VLOOKUP(K139,CBGV!$B$4:$P$68,13,0)))&lt;=-14,"/",(Z139-(VLOOKUP(K139,CBGV!$B$4:$P$68,13,0))))</f>
        <v>5</v>
      </c>
      <c r="AB139" s="88" t="s">
        <v>89</v>
      </c>
    </row>
    <row r="140" spans="1:28" ht="11.25" customHeight="1" x14ac:dyDescent="0.25">
      <c r="A140" s="111">
        <f>IF(N140=0,0,VLOOKUP(N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B140" s="111">
        <f>IF(O140=0,0,VLOOKUP(O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C140" s="111">
        <f>IF(P140=0,0,VLOOKUP(P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D140" s="111">
        <f>IF(Q140=0,0,VLOOKUP(Q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E140" s="111">
        <f>IF(R140=0,0,VLOOKUP(R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F140" s="111">
        <f>IF(S140=0,0,VLOOKUP(S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G140" s="111">
        <f>IF(T140=0,0,VLOOKUP(T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H140" s="111">
        <f>IF(U140=0,0,VLOOKUP(U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I140" s="111">
        <f>IF(V140=0,0,VLOOKUP(V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J140" s="111">
        <f>IF(W140=0,0,VLOOKUP(W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K140" s="704"/>
      <c r="L140" s="707"/>
      <c r="M140" s="51" t="s">
        <v>311</v>
      </c>
      <c r="N140" s="282" t="s">
        <v>173</v>
      </c>
      <c r="O140" s="283" t="s">
        <v>213</v>
      </c>
      <c r="P140" s="283" t="s">
        <v>214</v>
      </c>
      <c r="Q140" s="283" t="s">
        <v>31</v>
      </c>
      <c r="R140" s="284" t="s">
        <v>196</v>
      </c>
      <c r="S140" s="284" t="s">
        <v>197</v>
      </c>
      <c r="T140" s="284" t="s">
        <v>198</v>
      </c>
      <c r="U140" s="285"/>
      <c r="V140" s="285"/>
      <c r="W140" s="286"/>
      <c r="X140" s="710"/>
      <c r="Y140" s="710"/>
      <c r="Z140" s="710"/>
      <c r="AA140" s="710"/>
      <c r="AB140" s="88" t="s">
        <v>89</v>
      </c>
    </row>
    <row r="141" spans="1:28" ht="11.25" customHeight="1" x14ac:dyDescent="0.25">
      <c r="A141" s="111">
        <f>IF(N141=0,0,VLOOKUP(N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1</v>
      </c>
      <c r="B141" s="111">
        <f>IF(O141=0,0,VLOOKUP(O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C141" s="111">
        <f>IF(P141=0,0,VLOOKUP(P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D141" s="111">
        <f>IF(Q141=0,0,VLOOKUP(Q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E141" s="111">
        <f>IF(R141=0,0,VLOOKUP(R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F141" s="111">
        <f>IF(S141=0,0,VLOOKUP(S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G141" s="111">
        <f>IF(T141=0,0,VLOOKUP(T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H141" s="111">
        <f>IF(U141=0,0,VLOOKUP(U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I141" s="111">
        <f>IF(V141=0,0,VLOOKUP(V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J141" s="111">
        <f>IF(W141=0,0,VLOOKUP(W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K141" s="705"/>
      <c r="L141" s="708"/>
      <c r="M141" s="52" t="s">
        <v>309</v>
      </c>
      <c r="N141" s="287" t="s">
        <v>213</v>
      </c>
      <c r="O141" s="288"/>
      <c r="P141" s="288"/>
      <c r="Q141" s="288"/>
      <c r="R141" s="289"/>
      <c r="S141" s="289"/>
      <c r="T141" s="289"/>
      <c r="U141" s="290"/>
      <c r="V141" s="290"/>
      <c r="W141" s="291"/>
      <c r="X141" s="711"/>
      <c r="Y141" s="711"/>
      <c r="Z141" s="711"/>
      <c r="AA141" s="711"/>
      <c r="AB141" s="88" t="s">
        <v>89</v>
      </c>
    </row>
    <row r="142" spans="1:28" ht="11.25" customHeight="1" x14ac:dyDescent="0.25">
      <c r="A142" s="111">
        <f>IF(N142=0,0,VLOOKUP(N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B142" s="111">
        <f>IF(O142=0,0,VLOOKUP(O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C142" s="111">
        <f>IF(P142=0,0,VLOOKUP(P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D142" s="111">
        <f>IF(Q142=0,0,VLOOKUP(Q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E142" s="111">
        <f>IF(R142=0,0,VLOOKUP(R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F142" s="111">
        <f>IF(S142=0,0,VLOOKUP(S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G142" s="111">
        <f>IF(T142=0,0,VLOOKUP(T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H142" s="111">
        <f>IF(U142=0,0,VLOOKUP(U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I142" s="111">
        <f>IF(V142=0,0,VLOOKUP(V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J142" s="111">
        <f>IF(W142=0,0,VLOOKUP(W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K142" s="713" t="s">
        <v>92</v>
      </c>
      <c r="L142" s="706">
        <f>IF(K142=0,0,VLOOKUP(K142,CBGV!$B$4:$M$68,12,0))</f>
        <v>0</v>
      </c>
      <c r="M142" s="54" t="s">
        <v>32</v>
      </c>
      <c r="N142" s="277" t="s">
        <v>21</v>
      </c>
      <c r="O142" s="278" t="s">
        <v>148</v>
      </c>
      <c r="P142" s="278" t="s">
        <v>121</v>
      </c>
      <c r="Q142" s="278" t="s">
        <v>18</v>
      </c>
      <c r="R142" s="279" t="s">
        <v>124</v>
      </c>
      <c r="S142" s="279"/>
      <c r="T142" s="279"/>
      <c r="U142" s="280"/>
      <c r="V142" s="280"/>
      <c r="W142" s="281"/>
      <c r="X142" s="706">
        <f>IF(K142=0,0,VLOOKUP(K142,CBGV!$B$4:$P$68,14,0))+IF(L142=0,0,VLOOKUP(L142,'T-L-K'!$B$7:$BH$36,2,0))</f>
        <v>0</v>
      </c>
      <c r="Y142" s="716">
        <f>SUM(A142:J144)</f>
        <v>22</v>
      </c>
      <c r="Z142" s="716">
        <f>SUM(A142:J144)+X142</f>
        <v>22</v>
      </c>
      <c r="AA142" s="706">
        <f>IF((Z142-(VLOOKUP(K142,CBGV!$B$4:$P$68,13,0)))&lt;=-14,"/",(Z142-(VLOOKUP(K142,CBGV!$B$4:$P$68,13,0))))</f>
        <v>5</v>
      </c>
      <c r="AB142" s="88" t="s">
        <v>89</v>
      </c>
    </row>
    <row r="143" spans="1:28" ht="11.25" customHeight="1" x14ac:dyDescent="0.25">
      <c r="A143" s="111">
        <f>IF(N143=0,0,VLOOKUP(N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B143" s="111">
        <f>IF(O143=0,0,VLOOKUP(O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C143" s="111">
        <f>IF(P143=0,0,VLOOKUP(P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D143" s="111">
        <f>IF(Q143=0,0,VLOOKUP(Q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E143" s="111">
        <f>IF(R143=0,0,VLOOKUP(R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F143" s="111">
        <f>IF(S143=0,0,VLOOKUP(S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G143" s="111">
        <f>IF(T143=0,0,VLOOKUP(T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H143" s="111">
        <f>IF(U143=0,0,VLOOKUP(U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I143" s="111">
        <f>IF(V143=0,0,VLOOKUP(V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J143" s="111">
        <f>IF(W143=0,0,VLOOKUP(W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K143" s="714"/>
      <c r="L143" s="707"/>
      <c r="M143" s="55" t="s">
        <v>311</v>
      </c>
      <c r="N143" s="282" t="s">
        <v>21</v>
      </c>
      <c r="O143" s="283" t="s">
        <v>148</v>
      </c>
      <c r="P143" s="283" t="s">
        <v>121</v>
      </c>
      <c r="Q143" s="283" t="s">
        <v>116</v>
      </c>
      <c r="R143" s="284" t="s">
        <v>18</v>
      </c>
      <c r="S143" s="284" t="s">
        <v>124</v>
      </c>
      <c r="T143" s="284" t="s">
        <v>202</v>
      </c>
      <c r="U143" s="285"/>
      <c r="V143" s="285"/>
      <c r="W143" s="286"/>
      <c r="X143" s="707"/>
      <c r="Y143" s="707"/>
      <c r="Z143" s="707"/>
      <c r="AA143" s="707"/>
      <c r="AB143" s="88" t="s">
        <v>89</v>
      </c>
    </row>
    <row r="144" spans="1:28" ht="11.25" customHeight="1" x14ac:dyDescent="0.25">
      <c r="A144" s="111">
        <f>IF(N144=0,0,VLOOKUP(N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B144" s="111">
        <f>IF(O144=0,0,VLOOKUP(O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C144" s="111">
        <f>IF(P144=0,0,VLOOKUP(P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D144" s="111">
        <f>IF(Q144=0,0,VLOOKUP(Q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E144" s="111">
        <f>IF(R144=0,0,VLOOKUP(R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F144" s="111">
        <f>IF(S144=0,0,VLOOKUP(S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G144" s="111">
        <f>IF(T144=0,0,VLOOKUP(T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H144" s="111">
        <f>IF(U144=0,0,VLOOKUP(U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I144" s="111">
        <f>IF(V144=0,0,VLOOKUP(V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J144" s="111">
        <f>IF(W144=0,0,VLOOKUP(W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K144" s="715"/>
      <c r="L144" s="708"/>
      <c r="M144" s="56" t="s">
        <v>309</v>
      </c>
      <c r="N144" s="287"/>
      <c r="O144" s="288"/>
      <c r="P144" s="288"/>
      <c r="Q144" s="288"/>
      <c r="R144" s="289"/>
      <c r="S144" s="289"/>
      <c r="T144" s="289"/>
      <c r="U144" s="290"/>
      <c r="V144" s="290"/>
      <c r="W144" s="291"/>
      <c r="X144" s="708"/>
      <c r="Y144" s="708"/>
      <c r="Z144" s="708"/>
      <c r="AA144" s="708"/>
      <c r="AB144" s="88" t="s">
        <v>89</v>
      </c>
    </row>
    <row r="145" spans="1:28" ht="11.25" customHeight="1" x14ac:dyDescent="0.25">
      <c r="A145" s="111">
        <f>IF(N145=0,0,VLOOKUP(N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B145" s="111">
        <f>IF(O145=0,0,VLOOKUP(O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C145" s="111">
        <f>IF(P145=0,0,VLOOKUP(P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D145" s="111">
        <f>IF(Q145=0,0,VLOOKUP(Q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E145" s="111">
        <f>IF(R145=0,0,VLOOKUP(R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F145" s="111">
        <f>IF(S145=0,0,VLOOKUP(S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G145" s="111">
        <f>IF(T145=0,0,VLOOKUP(T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H145" s="111">
        <f>IF(U145=0,0,VLOOKUP(U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I145" s="111">
        <f>IF(V145=0,0,VLOOKUP(V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J145" s="111">
        <f>IF(W145=0,0,VLOOKUP(W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K145" s="703" t="s">
        <v>220</v>
      </c>
      <c r="L145" s="706" t="str">
        <f>IF(K145=0,0,VLOOKUP(K145,CBGV!$B$4:$M$68,12,0))</f>
        <v>11A2</v>
      </c>
      <c r="M145" s="57" t="s">
        <v>32</v>
      </c>
      <c r="N145" s="277" t="s">
        <v>219</v>
      </c>
      <c r="O145" s="278" t="s">
        <v>24</v>
      </c>
      <c r="P145" s="278" t="s">
        <v>142</v>
      </c>
      <c r="Q145" s="278"/>
      <c r="R145" s="279"/>
      <c r="S145" s="279"/>
      <c r="T145" s="279"/>
      <c r="U145" s="280"/>
      <c r="V145" s="280"/>
      <c r="W145" s="281"/>
      <c r="X145" s="709">
        <f>IF(K145=0,0,VLOOKUP(K145,CBGV!$B$4:$P$68,14,0))+IF(L145=0,0,VLOOKUP(L145,'T-L-K'!$B$7:$BH$36,2,0))</f>
        <v>5</v>
      </c>
      <c r="Y145" s="712">
        <f>SUM(A145:J147)</f>
        <v>17</v>
      </c>
      <c r="Z145" s="712">
        <f>SUM(A145:J147)+X145</f>
        <v>22</v>
      </c>
      <c r="AA145" s="709">
        <f>IF((Z145-(VLOOKUP(K145,CBGV!$B$4:$P$68,13,0)))&lt;=-14,"/",(Z145-(VLOOKUP(K145,CBGV!$B$4:$P$68,13,0))))</f>
        <v>5</v>
      </c>
      <c r="AB145" s="88" t="s">
        <v>89</v>
      </c>
    </row>
    <row r="146" spans="1:28" ht="11.25" customHeight="1" x14ac:dyDescent="0.25">
      <c r="A146" s="111">
        <f>IF(N146=0,0,VLOOKUP(N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B146" s="111">
        <f>IF(O146=0,0,VLOOKUP(O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C146" s="111">
        <f>IF(P146=0,0,VLOOKUP(P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D146" s="111">
        <f>IF(Q146=0,0,VLOOKUP(Q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E146" s="111">
        <f>IF(R146=0,0,VLOOKUP(R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F146" s="111">
        <f>IF(S146=0,0,VLOOKUP(S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G146" s="111">
        <f>IF(T146=0,0,VLOOKUP(T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H146" s="111">
        <f>IF(U146=0,0,VLOOKUP(U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I146" s="111">
        <f>IF(V146=0,0,VLOOKUP(V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J146" s="111">
        <f>IF(W146=0,0,VLOOKUP(W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K146" s="704"/>
      <c r="L146" s="707"/>
      <c r="M146" s="51" t="s">
        <v>311</v>
      </c>
      <c r="N146" s="282" t="s">
        <v>27</v>
      </c>
      <c r="O146" s="283" t="s">
        <v>30</v>
      </c>
      <c r="P146" s="283" t="s">
        <v>219</v>
      </c>
      <c r="Q146" s="283" t="s">
        <v>24</v>
      </c>
      <c r="R146" s="284" t="s">
        <v>142</v>
      </c>
      <c r="S146" s="284" t="s">
        <v>138</v>
      </c>
      <c r="T146" s="284" t="s">
        <v>201</v>
      </c>
      <c r="U146" s="285"/>
      <c r="V146" s="285"/>
      <c r="W146" s="286"/>
      <c r="X146" s="710"/>
      <c r="Y146" s="710"/>
      <c r="Z146" s="710"/>
      <c r="AA146" s="710"/>
      <c r="AB146" s="88" t="s">
        <v>89</v>
      </c>
    </row>
    <row r="147" spans="1:28" ht="11.25" customHeight="1" x14ac:dyDescent="0.25">
      <c r="A147" s="111">
        <f>IF(N147=0,0,VLOOKUP(N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1</v>
      </c>
      <c r="B147" s="111">
        <f>IF(O147=0,0,VLOOKUP(O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C147" s="111">
        <f>IF(P147=0,0,VLOOKUP(P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D147" s="111">
        <f>IF(Q147=0,0,VLOOKUP(Q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E147" s="111">
        <f>IF(R147=0,0,VLOOKUP(R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F147" s="111">
        <f>IF(S147=0,0,VLOOKUP(S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G147" s="111">
        <f>IF(T147=0,0,VLOOKUP(T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H147" s="111">
        <f>IF(U147=0,0,VLOOKUP(U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I147" s="111">
        <f>IF(V147=0,0,VLOOKUP(V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J147" s="111">
        <f>IF(W147=0,0,VLOOKUP(W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K147" s="705"/>
      <c r="L147" s="708"/>
      <c r="M147" s="52" t="s">
        <v>309</v>
      </c>
      <c r="N147" s="287" t="s">
        <v>24</v>
      </c>
      <c r="O147" s="288"/>
      <c r="P147" s="288"/>
      <c r="Q147" s="288"/>
      <c r="R147" s="289"/>
      <c r="S147" s="289"/>
      <c r="T147" s="289"/>
      <c r="U147" s="290"/>
      <c r="V147" s="290"/>
      <c r="W147" s="291"/>
      <c r="X147" s="711"/>
      <c r="Y147" s="711"/>
      <c r="Z147" s="711"/>
      <c r="AA147" s="711"/>
      <c r="AB147" s="88" t="s">
        <v>89</v>
      </c>
    </row>
    <row r="148" spans="1:28" ht="11.25" customHeight="1" x14ac:dyDescent="0.25">
      <c r="A148" s="111">
        <f>IF(N148=0,0,VLOOKUP(N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B148" s="111">
        <f>IF(O148=0,0,VLOOKUP(O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C148" s="111">
        <f>IF(P148=0,0,VLOOKUP(P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D148" s="111">
        <f>IF(Q148=0,0,VLOOKUP(Q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E148" s="111">
        <f>IF(R148=0,0,VLOOKUP(R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F148" s="111">
        <f>IF(S148=0,0,VLOOKUP(S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G148" s="111">
        <f>IF(T148=0,0,VLOOKUP(T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H148" s="111">
        <f>IF(U148=0,0,VLOOKUP(U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I148" s="111">
        <f>IF(V148=0,0,VLOOKUP(V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J148" s="111">
        <f>IF(W148=0,0,VLOOKUP(W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K148" s="713" t="s">
        <v>93</v>
      </c>
      <c r="L148" s="706">
        <f>IF(K148=0,0,VLOOKUP(K148,CBGV!$B$4:$M$68,12,0))</f>
        <v>0</v>
      </c>
      <c r="M148" s="54" t="s">
        <v>182</v>
      </c>
      <c r="N148" s="277" t="s">
        <v>20</v>
      </c>
      <c r="O148" s="278" t="s">
        <v>213</v>
      </c>
      <c r="P148" s="278" t="s">
        <v>214</v>
      </c>
      <c r="Q148" s="278" t="s">
        <v>18</v>
      </c>
      <c r="R148" s="279" t="s">
        <v>24</v>
      </c>
      <c r="S148" s="279"/>
      <c r="T148" s="279"/>
      <c r="U148" s="280"/>
      <c r="V148" s="280"/>
      <c r="W148" s="281"/>
      <c r="X148" s="706">
        <f>IF(K148=0,0,VLOOKUP(K148,CBGV!$B$4:$P$68,14,0))+IF(L148=0,0,VLOOKUP(L148,'T-L-K'!$B$7:$BH$36,2,0))</f>
        <v>3</v>
      </c>
      <c r="Y148" s="716">
        <f>SUM(A148:J150)</f>
        <v>15</v>
      </c>
      <c r="Z148" s="716">
        <f>SUM(A148:J150)+X148</f>
        <v>18</v>
      </c>
      <c r="AA148" s="706">
        <f>IF((Z148-(VLOOKUP(K148,CBGV!$B$4:$P$68,13,0)))&lt;=-14,"/",(Z148-(VLOOKUP(K148,CBGV!$B$4:$P$68,13,0))))</f>
        <v>1</v>
      </c>
      <c r="AB148" s="88" t="s">
        <v>365</v>
      </c>
    </row>
    <row r="149" spans="1:28" ht="11.25" customHeight="1" x14ac:dyDescent="0.25">
      <c r="A149" s="111">
        <f>IF(N149=0,0,VLOOKUP(N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B149" s="111">
        <f>IF(O149=0,0,VLOOKUP(O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C149" s="111">
        <f>IF(P149=0,0,VLOOKUP(P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D149" s="111">
        <f>IF(Q149=0,0,VLOOKUP(Q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E149" s="111">
        <f>IF(R149=0,0,VLOOKUP(R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F149" s="111">
        <f>IF(S149=0,0,VLOOKUP(S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G149" s="111">
        <f>IF(T149=0,0,VLOOKUP(T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H149" s="111">
        <f>IF(U149=0,0,VLOOKUP(U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I149" s="111">
        <f>IF(V149=0,0,VLOOKUP(V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J149" s="111">
        <f>IF(W149=0,0,VLOOKUP(W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K149" s="714"/>
      <c r="L149" s="707"/>
      <c r="M149" s="55" t="s">
        <v>182</v>
      </c>
      <c r="N149" s="419"/>
      <c r="O149" s="420"/>
      <c r="P149" s="420"/>
      <c r="Q149" s="420"/>
      <c r="R149" s="421"/>
      <c r="S149" s="421"/>
      <c r="T149" s="284"/>
      <c r="U149" s="285"/>
      <c r="V149" s="285"/>
      <c r="W149" s="286"/>
      <c r="X149" s="707"/>
      <c r="Y149" s="707"/>
      <c r="Z149" s="707"/>
      <c r="AA149" s="707"/>
      <c r="AB149" s="88" t="s">
        <v>365</v>
      </c>
    </row>
    <row r="150" spans="1:28" ht="11.25" customHeight="1" x14ac:dyDescent="0.25">
      <c r="A150" s="111">
        <f>IF(N150=0,0,VLOOKUP(N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B150" s="111">
        <f>IF(O150=0,0,VLOOKUP(O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C150" s="111">
        <f>IF(P150=0,0,VLOOKUP(P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D150" s="111">
        <f>IF(Q150=0,0,VLOOKUP(Q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E150" s="111">
        <f>IF(R150=0,0,VLOOKUP(R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F150" s="111">
        <f>IF(S150=0,0,VLOOKUP(S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G150" s="111">
        <f>IF(T150=0,0,VLOOKUP(T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H150" s="111">
        <f>IF(U150=0,0,VLOOKUP(U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I150" s="111">
        <f>IF(V150=0,0,VLOOKUP(V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J150" s="111">
        <f>IF(W150=0,0,VLOOKUP(W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K150" s="715"/>
      <c r="L150" s="708"/>
      <c r="M150" s="56" t="s">
        <v>309</v>
      </c>
      <c r="N150" s="287"/>
      <c r="O150" s="288"/>
      <c r="P150" s="288"/>
      <c r="Q150" s="288"/>
      <c r="R150" s="289"/>
      <c r="S150" s="289"/>
      <c r="T150" s="289"/>
      <c r="U150" s="290"/>
      <c r="V150" s="290"/>
      <c r="W150" s="291"/>
      <c r="X150" s="708"/>
      <c r="Y150" s="708"/>
      <c r="Z150" s="708"/>
      <c r="AA150" s="708"/>
      <c r="AB150" s="88" t="s">
        <v>365</v>
      </c>
    </row>
    <row r="151" spans="1:28" ht="11.25" customHeight="1" x14ac:dyDescent="0.25">
      <c r="A151" s="111">
        <f>IF(N151=0,0,VLOOKUP(N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B151" s="111">
        <f>IF(O151=0,0,VLOOKUP(O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C151" s="111">
        <f>IF(P151=0,0,VLOOKUP(P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D151" s="111">
        <f>IF(Q151=0,0,VLOOKUP(Q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E151" s="111">
        <f>IF(R151=0,0,VLOOKUP(R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F151" s="111">
        <f>IF(S151=0,0,VLOOKUP(S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G151" s="111">
        <f>IF(T151=0,0,VLOOKUP(T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H151" s="111">
        <f>IF(U151=0,0,VLOOKUP(U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I151" s="111">
        <f>IF(V151=0,0,VLOOKUP(V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J151" s="111">
        <f>IF(W151=0,0,VLOOKUP(W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K151" s="703" t="s">
        <v>190</v>
      </c>
      <c r="L151" s="706" t="str">
        <f>IF(K151=0,0,VLOOKUP(K151,CBGV!$B$4:$M$68,12,0))</f>
        <v>11A6</v>
      </c>
      <c r="M151" s="57" t="s">
        <v>182</v>
      </c>
      <c r="N151" s="277" t="s">
        <v>201</v>
      </c>
      <c r="O151" s="278" t="s">
        <v>204</v>
      </c>
      <c r="P151" s="278" t="s">
        <v>27</v>
      </c>
      <c r="Q151" s="278" t="s">
        <v>478</v>
      </c>
      <c r="R151" s="279"/>
      <c r="S151" s="279"/>
      <c r="T151" s="279"/>
      <c r="U151" s="280"/>
      <c r="V151" s="280"/>
      <c r="W151" s="281"/>
      <c r="X151" s="709">
        <f>IF(K151=0,0,VLOOKUP(K151,CBGV!$B$4:$P$68,14,0))+IF(L151=0,0,VLOOKUP(L151,'T-L-K'!$B$7:$BH$36,2,0))</f>
        <v>5</v>
      </c>
      <c r="Y151" s="712">
        <f>SUM(A151:J153)</f>
        <v>12</v>
      </c>
      <c r="Z151" s="712">
        <f>SUM(A151:J153)+X151</f>
        <v>17</v>
      </c>
      <c r="AA151" s="709">
        <f>IF((Z151-(VLOOKUP(K151,CBGV!$B$4:$P$68,13,0)))&lt;=-14,"/",(Z151-(VLOOKUP(K151,CBGV!$B$4:$P$68,13,0))))</f>
        <v>0</v>
      </c>
      <c r="AB151" s="88" t="s">
        <v>365</v>
      </c>
    </row>
    <row r="152" spans="1:28" ht="11.25" customHeight="1" x14ac:dyDescent="0.25">
      <c r="A152" s="111">
        <f>IF(N152=0,0,VLOOKUP(N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B152" s="111">
        <f>IF(O152=0,0,VLOOKUP(O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C152" s="111">
        <f>IF(P152=0,0,VLOOKUP(P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D152" s="111">
        <f>IF(Q152=0,0,VLOOKUP(Q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E152" s="111">
        <f>IF(R152=0,0,VLOOKUP(R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F152" s="111">
        <f>IF(S152=0,0,VLOOKUP(S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G152" s="111">
        <f>IF(T152=0,0,VLOOKUP(T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H152" s="111">
        <f>IF(U152=0,0,VLOOKUP(U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I152" s="111">
        <f>IF(V152=0,0,VLOOKUP(V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J152" s="111">
        <f>IF(W152=0,0,VLOOKUP(W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K152" s="704"/>
      <c r="L152" s="707"/>
      <c r="M152" s="51" t="s">
        <v>182</v>
      </c>
      <c r="N152" s="419"/>
      <c r="O152" s="420"/>
      <c r="P152" s="420"/>
      <c r="Q152" s="420"/>
      <c r="R152" s="284"/>
      <c r="S152" s="284"/>
      <c r="T152" s="284"/>
      <c r="U152" s="285"/>
      <c r="V152" s="285"/>
      <c r="W152" s="286"/>
      <c r="X152" s="710"/>
      <c r="Y152" s="710"/>
      <c r="Z152" s="710"/>
      <c r="AA152" s="710"/>
      <c r="AB152" s="88" t="s">
        <v>365</v>
      </c>
    </row>
    <row r="153" spans="1:28" ht="11.25" customHeight="1" x14ac:dyDescent="0.25">
      <c r="A153" s="111">
        <f>IF(N153=0,0,VLOOKUP(N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B153" s="111">
        <f>IF(O153=0,0,VLOOKUP(O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C153" s="111">
        <f>IF(P153=0,0,VLOOKUP(P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D153" s="111">
        <f>IF(Q153=0,0,VLOOKUP(Q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E153" s="111">
        <f>IF(R153=0,0,VLOOKUP(R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F153" s="111">
        <f>IF(S153=0,0,VLOOKUP(S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G153" s="111">
        <f>IF(T153=0,0,VLOOKUP(T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H153" s="111">
        <f>IF(U153=0,0,VLOOKUP(U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I153" s="111">
        <f>IF(V153=0,0,VLOOKUP(V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J153" s="111">
        <f>IF(W153=0,0,VLOOKUP(W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K153" s="705"/>
      <c r="L153" s="708"/>
      <c r="M153" s="52" t="s">
        <v>309</v>
      </c>
      <c r="N153" s="287"/>
      <c r="O153" s="288"/>
      <c r="P153" s="288"/>
      <c r="Q153" s="288"/>
      <c r="R153" s="289"/>
      <c r="S153" s="289"/>
      <c r="T153" s="289"/>
      <c r="U153" s="290"/>
      <c r="V153" s="290"/>
      <c r="W153" s="291"/>
      <c r="X153" s="711"/>
      <c r="Y153" s="711"/>
      <c r="Z153" s="711"/>
      <c r="AA153" s="711"/>
      <c r="AB153" s="88" t="s">
        <v>365</v>
      </c>
    </row>
    <row r="154" spans="1:28" ht="11.25" customHeight="1" x14ac:dyDescent="0.25">
      <c r="A154" s="111">
        <f>IF(N154=0,0,VLOOKUP(N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B154" s="111">
        <f>IF(O154=0,0,VLOOKUP(O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C154" s="111">
        <f>IF(P154=0,0,VLOOKUP(P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D154" s="111">
        <f>IF(Q154=0,0,VLOOKUP(Q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E154" s="111">
        <f>IF(R154=0,0,VLOOKUP(R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F154" s="111">
        <f>IF(S154=0,0,VLOOKUP(S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G154" s="111">
        <f>IF(T154=0,0,VLOOKUP(T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H154" s="111">
        <f>IF(U154=0,0,VLOOKUP(U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I154" s="111">
        <f>IF(V154=0,0,VLOOKUP(V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J154" s="111">
        <f>IF(W154=0,0,VLOOKUP(W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K154" s="713" t="s">
        <v>94</v>
      </c>
      <c r="L154" s="706">
        <f>IF(K154=0,0,VLOOKUP(K154,CBGV!$B$4:$M$68,12,0))</f>
        <v>0</v>
      </c>
      <c r="M154" s="54" t="s">
        <v>182</v>
      </c>
      <c r="N154" s="277" t="s">
        <v>148</v>
      </c>
      <c r="O154" s="278" t="s">
        <v>121</v>
      </c>
      <c r="P154" s="278" t="s">
        <v>116</v>
      </c>
      <c r="Q154" s="278" t="s">
        <v>203</v>
      </c>
      <c r="R154" s="279" t="s">
        <v>138</v>
      </c>
      <c r="S154" s="279"/>
      <c r="T154" s="279"/>
      <c r="U154" s="280"/>
      <c r="V154" s="280"/>
      <c r="W154" s="281"/>
      <c r="X154" s="706">
        <f>IF(K154=0,0,VLOOKUP(K154,CBGV!$B$4:$P$68,14,0))+IF(L154=0,0,VLOOKUP(L154,'T-L-K'!$B$7:$BH$36,2,0))</f>
        <v>0</v>
      </c>
      <c r="Y154" s="716">
        <f>SUM(A154:J156)</f>
        <v>15</v>
      </c>
      <c r="Z154" s="716">
        <f>SUM(A154:J156)+X154</f>
        <v>15</v>
      </c>
      <c r="AA154" s="706">
        <f>IF((Z154-(VLOOKUP(K154,CBGV!$B$4:$P$68,13,0)))&lt;=-14,"/",(Z154-(VLOOKUP(K154,CBGV!$B$4:$P$68,13,0))))</f>
        <v>-2</v>
      </c>
      <c r="AB154" s="88" t="s">
        <v>365</v>
      </c>
    </row>
    <row r="155" spans="1:28" ht="11.25" customHeight="1" x14ac:dyDescent="0.25">
      <c r="A155" s="111">
        <f>IF(N155=0,0,VLOOKUP(N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B155" s="111">
        <f>IF(O155=0,0,VLOOKUP(O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C155" s="111">
        <f>IF(P155=0,0,VLOOKUP(P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D155" s="111">
        <f>IF(Q155=0,0,VLOOKUP(Q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E155" s="111">
        <f>IF(R155=0,0,VLOOKUP(R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F155" s="111">
        <f>IF(S155=0,0,VLOOKUP(S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G155" s="111">
        <f>IF(T155=0,0,VLOOKUP(T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H155" s="111">
        <f>IF(U155=0,0,VLOOKUP(U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I155" s="111">
        <f>IF(V155=0,0,VLOOKUP(V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J155" s="111">
        <f>IF(W155=0,0,VLOOKUP(W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K155" s="714"/>
      <c r="L155" s="707"/>
      <c r="M155" s="55" t="s">
        <v>182</v>
      </c>
      <c r="N155" s="419"/>
      <c r="O155" s="420"/>
      <c r="P155" s="420"/>
      <c r="Q155" s="420"/>
      <c r="R155" s="421"/>
      <c r="S155" s="284"/>
      <c r="T155" s="284"/>
      <c r="U155" s="285"/>
      <c r="V155" s="285"/>
      <c r="W155" s="286"/>
      <c r="X155" s="707"/>
      <c r="Y155" s="707"/>
      <c r="Z155" s="707"/>
      <c r="AA155" s="707"/>
      <c r="AB155" s="88" t="s">
        <v>365</v>
      </c>
    </row>
    <row r="156" spans="1:28" ht="11.25" customHeight="1" x14ac:dyDescent="0.25">
      <c r="A156" s="111">
        <f>IF(N156=0,0,VLOOKUP(N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B156" s="111">
        <f>IF(O156=0,0,VLOOKUP(O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C156" s="111">
        <f>IF(P156=0,0,VLOOKUP(P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D156" s="111">
        <f>IF(Q156=0,0,VLOOKUP(Q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E156" s="111">
        <f>IF(R156=0,0,VLOOKUP(R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F156" s="111">
        <f>IF(S156=0,0,VLOOKUP(S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G156" s="111">
        <f>IF(T156=0,0,VLOOKUP(T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H156" s="111">
        <f>IF(U156=0,0,VLOOKUP(U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I156" s="111">
        <f>IF(V156=0,0,VLOOKUP(V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J156" s="111">
        <f>IF(W156=0,0,VLOOKUP(W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K156" s="715"/>
      <c r="L156" s="708"/>
      <c r="M156" s="56" t="s">
        <v>309</v>
      </c>
      <c r="N156" s="287"/>
      <c r="O156" s="288"/>
      <c r="P156" s="288"/>
      <c r="Q156" s="288"/>
      <c r="R156" s="289"/>
      <c r="S156" s="289"/>
      <c r="T156" s="289"/>
      <c r="U156" s="290"/>
      <c r="V156" s="290"/>
      <c r="W156" s="291"/>
      <c r="X156" s="708"/>
      <c r="Y156" s="708"/>
      <c r="Z156" s="708"/>
      <c r="AA156" s="708"/>
      <c r="AB156" s="88" t="s">
        <v>365</v>
      </c>
    </row>
    <row r="157" spans="1:28" ht="11.25" customHeight="1" x14ac:dyDescent="0.25">
      <c r="A157" s="111">
        <f>IF(N157=0,0,VLOOKUP(N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B157" s="111">
        <f>IF(O157=0,0,VLOOKUP(O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C157" s="111">
        <f>IF(P157=0,0,VLOOKUP(P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D157" s="111">
        <f>IF(Q157=0,0,VLOOKUP(Q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E157" s="111">
        <f>IF(R157=0,0,VLOOKUP(R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F157" s="111">
        <f>IF(S157=0,0,VLOOKUP(S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G157" s="111">
        <f>IF(T157=0,0,VLOOKUP(T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H157" s="111">
        <f>IF(U157=0,0,VLOOKUP(U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I157" s="111">
        <f>IF(V157=0,0,VLOOKUP(V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J157" s="111">
        <f>IF(W157=0,0,VLOOKUP(W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K157" s="703" t="s">
        <v>95</v>
      </c>
      <c r="L157" s="706" t="str">
        <f>IF(K157=0,0,VLOOKUP(K157,CBGV!$B$4:$M$68,12,0))</f>
        <v>10A2</v>
      </c>
      <c r="M157" s="57" t="s">
        <v>182</v>
      </c>
      <c r="N157" s="277" t="s">
        <v>31</v>
      </c>
      <c r="O157" s="278" t="s">
        <v>21</v>
      </c>
      <c r="P157" s="278" t="s">
        <v>142</v>
      </c>
      <c r="Q157" s="278" t="s">
        <v>124</v>
      </c>
      <c r="R157" s="279"/>
      <c r="S157" s="279"/>
      <c r="T157" s="279"/>
      <c r="U157" s="280"/>
      <c r="V157" s="280"/>
      <c r="W157" s="281"/>
      <c r="X157" s="709">
        <f>IF(K157=0,0,VLOOKUP(K157,CBGV!$B$4:$P$68,14,0))+IF(L157=0,0,VLOOKUP(L157,'T-L-K'!$B$7:$BH$36,2,0))</f>
        <v>5</v>
      </c>
      <c r="Y157" s="712">
        <f>SUM(A157:J159)</f>
        <v>12</v>
      </c>
      <c r="Z157" s="712">
        <f>SUM(A157:J159)+X157</f>
        <v>17</v>
      </c>
      <c r="AA157" s="709">
        <f>IF((Z157-(VLOOKUP(K157,CBGV!$B$4:$P$68,13,0)))&lt;=-14,"/",(Z157-(VLOOKUP(K157,CBGV!$B$4:$P$68,13,0))))</f>
        <v>0</v>
      </c>
      <c r="AB157" s="88" t="s">
        <v>365</v>
      </c>
    </row>
    <row r="158" spans="1:28" ht="11.25" customHeight="1" x14ac:dyDescent="0.25">
      <c r="A158" s="111">
        <f>IF(N158=0,0,VLOOKUP(N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B158" s="111">
        <f>IF(O158=0,0,VLOOKUP(O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C158" s="111">
        <f>IF(P158=0,0,VLOOKUP(P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D158" s="111">
        <f>IF(Q158=0,0,VLOOKUP(Q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E158" s="111">
        <f>IF(R158=0,0,VLOOKUP(R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F158" s="111">
        <f>IF(S158=0,0,VLOOKUP(S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G158" s="111">
        <f>IF(T158=0,0,VLOOKUP(T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H158" s="111">
        <f>IF(U158=0,0,VLOOKUP(U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I158" s="111">
        <f>IF(V158=0,0,VLOOKUP(V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J158" s="111">
        <f>IF(W158=0,0,VLOOKUP(W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K158" s="704"/>
      <c r="L158" s="707"/>
      <c r="M158" s="51" t="s">
        <v>182</v>
      </c>
      <c r="N158" s="419"/>
      <c r="O158" s="420"/>
      <c r="P158" s="420"/>
      <c r="Q158" s="420"/>
      <c r="R158" s="284"/>
      <c r="S158" s="284"/>
      <c r="T158" s="284"/>
      <c r="U158" s="285"/>
      <c r="V158" s="285"/>
      <c r="W158" s="286"/>
      <c r="X158" s="710"/>
      <c r="Y158" s="710"/>
      <c r="Z158" s="710"/>
      <c r="AA158" s="710"/>
      <c r="AB158" s="88" t="s">
        <v>365</v>
      </c>
    </row>
    <row r="159" spans="1:28" ht="11.25" customHeight="1" x14ac:dyDescent="0.25">
      <c r="A159" s="111">
        <f>IF(N159=0,0,VLOOKUP(N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B159" s="111">
        <f>IF(O159=0,0,VLOOKUP(O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C159" s="111">
        <f>IF(P159=0,0,VLOOKUP(P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D159" s="111">
        <f>IF(Q159=0,0,VLOOKUP(Q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E159" s="111">
        <f>IF(R159=0,0,VLOOKUP(R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F159" s="111">
        <f>IF(S159=0,0,VLOOKUP(S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G159" s="111">
        <f>IF(T159=0,0,VLOOKUP(T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H159" s="111">
        <f>IF(U159=0,0,VLOOKUP(U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I159" s="111">
        <f>IF(V159=0,0,VLOOKUP(V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J159" s="111">
        <f>IF(W159=0,0,VLOOKUP(W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K159" s="705"/>
      <c r="L159" s="708"/>
      <c r="M159" s="52" t="s">
        <v>309</v>
      </c>
      <c r="N159" s="287"/>
      <c r="O159" s="288"/>
      <c r="P159" s="288"/>
      <c r="Q159" s="288"/>
      <c r="R159" s="289"/>
      <c r="S159" s="289"/>
      <c r="T159" s="289"/>
      <c r="U159" s="290"/>
      <c r="V159" s="290"/>
      <c r="W159" s="291"/>
      <c r="X159" s="711"/>
      <c r="Y159" s="711"/>
      <c r="Z159" s="711"/>
      <c r="AA159" s="711"/>
      <c r="AB159" s="88" t="s">
        <v>365</v>
      </c>
    </row>
    <row r="160" spans="1:28" ht="11.25" customHeight="1" x14ac:dyDescent="0.25">
      <c r="A160" s="111">
        <f>IF(N160=0,0,VLOOKUP(N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B160" s="111">
        <f>IF(O160=0,0,VLOOKUP(O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C160" s="111">
        <f>IF(P160=0,0,VLOOKUP(P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D160" s="111">
        <f>IF(Q160=0,0,VLOOKUP(Q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E160" s="111">
        <f>IF(R160=0,0,VLOOKUP(R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F160" s="111">
        <f>IF(S160=0,0,VLOOKUP(S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G160" s="111">
        <f>IF(T160=0,0,VLOOKUP(T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H160" s="111">
        <f>IF(U160=0,0,VLOOKUP(U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I160" s="111">
        <f>IF(V160=0,0,VLOOKUP(V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J160" s="111">
        <f>IF(W160=0,0,VLOOKUP(W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K160" s="713" t="s">
        <v>96</v>
      </c>
      <c r="L160" s="706">
        <f>IF(K160=0,0,VLOOKUP(K160,CBGV!$B$4:$M$68,12,0))</f>
        <v>0</v>
      </c>
      <c r="M160" s="54" t="s">
        <v>182</v>
      </c>
      <c r="N160" s="277" t="s">
        <v>140</v>
      </c>
      <c r="O160" s="278" t="s">
        <v>173</v>
      </c>
      <c r="P160" s="278" t="s">
        <v>219</v>
      </c>
      <c r="Q160" s="278" t="s">
        <v>196</v>
      </c>
      <c r="R160" s="279" t="s">
        <v>197</v>
      </c>
      <c r="S160" s="279" t="s">
        <v>198</v>
      </c>
      <c r="T160" s="279"/>
      <c r="U160" s="280"/>
      <c r="V160" s="280"/>
      <c r="W160" s="281"/>
      <c r="X160" s="706">
        <f>IF(K160=0,0,VLOOKUP(K160,CBGV!$B$4:$P$68,14,0))+IF(L160=0,0,VLOOKUP(L160,'T-L-K'!$B$7:$BH$36,2,0))</f>
        <v>0</v>
      </c>
      <c r="Y160" s="716">
        <f>SUM(A160:J162)</f>
        <v>18</v>
      </c>
      <c r="Z160" s="716">
        <f>SUM(A160:J162)+X160</f>
        <v>18</v>
      </c>
      <c r="AA160" s="706">
        <f>IF((Z160-(VLOOKUP(K160,CBGV!$B$4:$P$68,13,0)))&lt;=-14,"/",(Z160-(VLOOKUP(K160,CBGV!$B$4:$P$68,13,0))))</f>
        <v>1</v>
      </c>
      <c r="AB160" s="88" t="s">
        <v>365</v>
      </c>
    </row>
    <row r="161" spans="1:28" ht="11.25" customHeight="1" x14ac:dyDescent="0.25">
      <c r="A161" s="111">
        <f>IF(N161=0,0,VLOOKUP(N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B161" s="111">
        <f>IF(O161=0,0,VLOOKUP(O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C161" s="111">
        <f>IF(P161=0,0,VLOOKUP(P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D161" s="111">
        <f>IF(Q161=0,0,VLOOKUP(Q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E161" s="111">
        <f>IF(R161=0,0,VLOOKUP(R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F161" s="111">
        <f>IF(S161=0,0,VLOOKUP(S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G161" s="111">
        <f>IF(T161=0,0,VLOOKUP(T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H161" s="111">
        <f>IF(U161=0,0,VLOOKUP(U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I161" s="111">
        <f>IF(V161=0,0,VLOOKUP(V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J161" s="111">
        <f>IF(W161=0,0,VLOOKUP(W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K161" s="714"/>
      <c r="L161" s="707"/>
      <c r="M161" s="55" t="s">
        <v>182</v>
      </c>
      <c r="N161" s="419"/>
      <c r="O161" s="420"/>
      <c r="P161" s="420"/>
      <c r="Q161" s="420"/>
      <c r="R161" s="421"/>
      <c r="S161" s="421"/>
      <c r="T161" s="284"/>
      <c r="U161" s="285"/>
      <c r="V161" s="285"/>
      <c r="W161" s="286"/>
      <c r="X161" s="707"/>
      <c r="Y161" s="707"/>
      <c r="Z161" s="707"/>
      <c r="AA161" s="707"/>
      <c r="AB161" s="88" t="s">
        <v>365</v>
      </c>
    </row>
    <row r="162" spans="1:28" ht="11.25" customHeight="1" x14ac:dyDescent="0.25">
      <c r="A162" s="111">
        <f>IF(N162=0,0,VLOOKUP(N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B162" s="111">
        <f>IF(O162=0,0,VLOOKUP(O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C162" s="111">
        <f>IF(P162=0,0,VLOOKUP(P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D162" s="111">
        <f>IF(Q162=0,0,VLOOKUP(Q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E162" s="111">
        <f>IF(R162=0,0,VLOOKUP(R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F162" s="111">
        <f>IF(S162=0,0,VLOOKUP(S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G162" s="111">
        <f>IF(T162=0,0,VLOOKUP(T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H162" s="111">
        <f>IF(U162=0,0,VLOOKUP(U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I162" s="111">
        <f>IF(V162=0,0,VLOOKUP(V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J162" s="111">
        <f>IF(W162=0,0,VLOOKUP(W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K162" s="715"/>
      <c r="L162" s="708"/>
      <c r="M162" s="56" t="s">
        <v>309</v>
      </c>
      <c r="N162" s="287"/>
      <c r="O162" s="288"/>
      <c r="P162" s="288"/>
      <c r="Q162" s="288"/>
      <c r="R162" s="289"/>
      <c r="S162" s="289"/>
      <c r="T162" s="289"/>
      <c r="U162" s="290"/>
      <c r="V162" s="290"/>
      <c r="W162" s="291"/>
      <c r="X162" s="708"/>
      <c r="Y162" s="708"/>
      <c r="Z162" s="708"/>
      <c r="AA162" s="708"/>
      <c r="AB162" s="88" t="s">
        <v>365</v>
      </c>
    </row>
    <row r="163" spans="1:28" ht="11.25" customHeight="1" x14ac:dyDescent="0.25">
      <c r="A163" s="111">
        <f>IF(N163=0,0,VLOOKUP(N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B163" s="111">
        <f>IF(O163=0,0,VLOOKUP(O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C163" s="111">
        <f>IF(P163=0,0,VLOOKUP(P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D163" s="111">
        <f>IF(Q163=0,0,VLOOKUP(Q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E163" s="111">
        <f>IF(R163=0,0,VLOOKUP(R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F163" s="111">
        <f>IF(S163=0,0,VLOOKUP(S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G163" s="111">
        <f>IF(T163=0,0,VLOOKUP(T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H163" s="111">
        <f>IF(U163=0,0,VLOOKUP(U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I163" s="111">
        <f>IF(V163=0,0,VLOOKUP(V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J163" s="111">
        <f>IF(W163=0,0,VLOOKUP(W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K163" s="703" t="s">
        <v>97</v>
      </c>
      <c r="L163" s="706" t="str">
        <f>IF(K163=0,0,VLOOKUP(K163,CBGV!$B$4:$M$68,12,0))</f>
        <v>11A10</v>
      </c>
      <c r="M163" s="57" t="s">
        <v>182</v>
      </c>
      <c r="N163" s="468" t="s">
        <v>305</v>
      </c>
      <c r="O163" s="469" t="s">
        <v>202</v>
      </c>
      <c r="P163" s="469" t="s">
        <v>30</v>
      </c>
      <c r="Q163" s="469" t="s">
        <v>215</v>
      </c>
      <c r="R163" s="279"/>
      <c r="S163" s="279"/>
      <c r="T163" s="279"/>
      <c r="U163" s="280"/>
      <c r="V163" s="280"/>
      <c r="W163" s="281"/>
      <c r="X163" s="709">
        <f>IF(K163=0,0,VLOOKUP(K163,CBGV!$B$4:$P$68,14,0))+IF(L163=0,0,VLOOKUP(L163,'T-L-K'!$B$7:$BH$36,2,0))</f>
        <v>5</v>
      </c>
      <c r="Y163" s="712">
        <f>SUM(A163:J165)</f>
        <v>12</v>
      </c>
      <c r="Z163" s="712">
        <f>SUM(A163:J165)+X163</f>
        <v>17</v>
      </c>
      <c r="AA163" s="709">
        <f>IF((Z163-(VLOOKUP(K163,CBGV!$B$4:$P$68,13,0)))&lt;=-14,"/",(Z163-(VLOOKUP(K163,CBGV!$B$4:$P$68,13,0))))</f>
        <v>0</v>
      </c>
      <c r="AB163" s="88" t="s">
        <v>365</v>
      </c>
    </row>
    <row r="164" spans="1:28" ht="11.25" customHeight="1" x14ac:dyDescent="0.25">
      <c r="A164" s="111">
        <f>IF(N164=0,0,VLOOKUP(N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B164" s="111">
        <f>IF(O164=0,0,VLOOKUP(O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C164" s="111">
        <f>IF(P164=0,0,VLOOKUP(P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D164" s="111">
        <f>IF(Q164=0,0,VLOOKUP(Q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E164" s="111">
        <f>IF(R164=0,0,VLOOKUP(R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F164" s="111">
        <f>IF(S164=0,0,VLOOKUP(S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G164" s="111">
        <f>IF(T164=0,0,VLOOKUP(T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H164" s="111">
        <f>IF(U164=0,0,VLOOKUP(U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I164" s="111">
        <f>IF(V164=0,0,VLOOKUP(V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J164" s="111">
        <f>IF(W164=0,0,VLOOKUP(W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K164" s="704"/>
      <c r="L164" s="707"/>
      <c r="M164" s="51" t="s">
        <v>182</v>
      </c>
      <c r="N164" s="419"/>
      <c r="O164" s="420"/>
      <c r="P164" s="420"/>
      <c r="Q164" s="420"/>
      <c r="R164" s="284"/>
      <c r="S164" s="284"/>
      <c r="T164" s="284"/>
      <c r="U164" s="285"/>
      <c r="V164" s="285"/>
      <c r="W164" s="286"/>
      <c r="X164" s="710"/>
      <c r="Y164" s="710"/>
      <c r="Z164" s="710"/>
      <c r="AA164" s="710"/>
      <c r="AB164" s="88" t="s">
        <v>365</v>
      </c>
    </row>
    <row r="165" spans="1:28" ht="11.25" customHeight="1" x14ac:dyDescent="0.25">
      <c r="A165" s="111">
        <f>IF(N165=0,0,VLOOKUP(N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B165" s="111">
        <f>IF(O165=0,0,VLOOKUP(O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C165" s="111">
        <f>IF(P165=0,0,VLOOKUP(P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D165" s="111">
        <f>IF(Q165=0,0,VLOOKUP(Q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E165" s="111">
        <f>IF(R165=0,0,VLOOKUP(R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F165" s="111">
        <f>IF(S165=0,0,VLOOKUP(S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G165" s="111">
        <f>IF(T165=0,0,VLOOKUP(T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H165" s="111">
        <f>IF(U165=0,0,VLOOKUP(U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I165" s="111">
        <f>IF(V165=0,0,VLOOKUP(V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J165" s="111">
        <f>IF(W165=0,0,VLOOKUP(W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K165" s="705"/>
      <c r="L165" s="708"/>
      <c r="M165" s="52" t="s">
        <v>309</v>
      </c>
      <c r="N165" s="415"/>
      <c r="O165" s="416"/>
      <c r="P165" s="416"/>
      <c r="Q165" s="416"/>
      <c r="R165" s="417"/>
      <c r="S165" s="417"/>
      <c r="T165" s="417"/>
      <c r="U165" s="418"/>
      <c r="V165" s="290"/>
      <c r="W165" s="291"/>
      <c r="X165" s="711"/>
      <c r="Y165" s="711"/>
      <c r="Z165" s="711"/>
      <c r="AA165" s="711"/>
      <c r="AB165" s="88" t="s">
        <v>365</v>
      </c>
    </row>
    <row r="166" spans="1:28" ht="11.25" customHeight="1" x14ac:dyDescent="0.25">
      <c r="A166" s="111">
        <f>IF(N166=0,0,VLOOKUP(N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B166" s="111">
        <f>IF(O166=0,0,VLOOKUP(O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C166" s="111">
        <f>IF(P166=0,0,VLOOKUP(P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D166" s="111">
        <f>IF(Q166=0,0,VLOOKUP(Q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E166" s="111">
        <f>IF(R166=0,0,VLOOKUP(R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F166" s="111">
        <f>IF(S166=0,0,VLOOKUP(S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G166" s="111">
        <f>IF(T166=0,0,VLOOKUP(T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H166" s="111">
        <f>IF(U166=0,0,VLOOKUP(U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I166" s="111">
        <f>IF(V166=0,0,VLOOKUP(V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J166" s="111">
        <f>IF(W166=0,0,VLOOKUP(W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K166" s="713" t="s">
        <v>100</v>
      </c>
      <c r="L166" s="706">
        <f>IF(K166=0,0,VLOOKUP(K166,CBGV!$B$4:$M$68,12,0))</f>
        <v>0</v>
      </c>
      <c r="M166" s="413" t="s">
        <v>36</v>
      </c>
      <c r="N166" s="436" t="s">
        <v>20</v>
      </c>
      <c r="O166" s="437" t="s">
        <v>140</v>
      </c>
      <c r="P166" s="437" t="s">
        <v>173</v>
      </c>
      <c r="Q166" s="437" t="s">
        <v>463</v>
      </c>
      <c r="R166" s="417" t="s">
        <v>214</v>
      </c>
      <c r="S166" s="417" t="s">
        <v>215</v>
      </c>
      <c r="T166" s="417" t="s">
        <v>514</v>
      </c>
      <c r="U166" s="417" t="s">
        <v>515</v>
      </c>
      <c r="V166" s="414"/>
      <c r="W166" s="281"/>
      <c r="X166" s="706">
        <f>IF(K166=0,0,VLOOKUP(K166,CBGV!$B$4:$P$68,14,0))+IF(L166=0,0,VLOOKUP(L166,'T-L-K'!$B$7:$BH$36,2,0))</f>
        <v>8.5</v>
      </c>
      <c r="Y166" s="716">
        <f>SUM(A166:J168)</f>
        <v>8</v>
      </c>
      <c r="Z166" s="716">
        <f>SUM(A166:J168)+X166</f>
        <v>16.5</v>
      </c>
      <c r="AA166" s="706">
        <f>IF((Z166-(VLOOKUP(K166,CBGV!$B$4:$P$68,13,0)))&lt;=-14,"/",(Z166-(VLOOKUP(K166,CBGV!$B$4:$P$68,13,0))))</f>
        <v>-0.5</v>
      </c>
      <c r="AB166" s="88" t="s">
        <v>99</v>
      </c>
    </row>
    <row r="167" spans="1:28" ht="11.25" customHeight="1" x14ac:dyDescent="0.25">
      <c r="A167" s="111">
        <f>IF(N167=0,0,VLOOKUP(N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B167" s="111">
        <f>IF(O167=0,0,VLOOKUP(O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C167" s="111">
        <f>IF(P167=0,0,VLOOKUP(P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D167" s="111">
        <f>IF(Q167=0,0,VLOOKUP(Q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E167" s="111">
        <f>IF(R167=0,0,VLOOKUP(R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F167" s="111">
        <f>IF(S167=0,0,VLOOKUP(S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G167" s="111">
        <f>IF(T167=0,0,VLOOKUP(T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H167" s="111">
        <f>IF(U167=0,0,VLOOKUP(U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I167" s="111">
        <f>IF(V167=0,0,VLOOKUP(V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J167" s="111">
        <f>IF(W167=0,0,VLOOKUP(W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K167" s="714"/>
      <c r="L167" s="707"/>
      <c r="M167" s="55" t="s">
        <v>36</v>
      </c>
      <c r="N167" s="438"/>
      <c r="O167" s="439"/>
      <c r="P167" s="439"/>
      <c r="Q167" s="439"/>
      <c r="R167" s="440"/>
      <c r="S167" s="440"/>
      <c r="T167" s="440"/>
      <c r="U167" s="441"/>
      <c r="V167" s="285"/>
      <c r="W167" s="286"/>
      <c r="X167" s="707"/>
      <c r="Y167" s="707"/>
      <c r="Z167" s="707"/>
      <c r="AA167" s="707"/>
      <c r="AB167" s="88" t="s">
        <v>99</v>
      </c>
    </row>
    <row r="168" spans="1:28" ht="11.25" customHeight="1" x14ac:dyDescent="0.25">
      <c r="A168" s="111">
        <f>IF(N168=0,0,VLOOKUP(N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B168" s="111">
        <f>IF(O168=0,0,VLOOKUP(O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C168" s="111">
        <f>IF(P168=0,0,VLOOKUP(P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D168" s="111">
        <f>IF(Q168=0,0,VLOOKUP(Q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E168" s="111">
        <f>IF(R168=0,0,VLOOKUP(R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F168" s="111">
        <f>IF(S168=0,0,VLOOKUP(S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G168" s="111">
        <f>IF(T168=0,0,VLOOKUP(T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H168" s="111">
        <f>IF(U168=0,0,VLOOKUP(U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I168" s="111">
        <f>IF(V168=0,0,VLOOKUP(V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J168" s="111">
        <f>IF(W168=0,0,VLOOKUP(W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K168" s="715"/>
      <c r="L168" s="708"/>
      <c r="M168" s="56" t="s">
        <v>36</v>
      </c>
      <c r="N168" s="442"/>
      <c r="O168" s="443"/>
      <c r="P168" s="443"/>
      <c r="Q168" s="443"/>
      <c r="R168" s="444"/>
      <c r="S168" s="444"/>
      <c r="T168" s="444"/>
      <c r="U168" s="445"/>
      <c r="V168" s="418"/>
      <c r="W168" s="291"/>
      <c r="X168" s="708"/>
      <c r="Y168" s="708"/>
      <c r="Z168" s="708"/>
      <c r="AA168" s="708"/>
      <c r="AB168" s="88" t="s">
        <v>99</v>
      </c>
    </row>
    <row r="169" spans="1:28" ht="11.25" customHeight="1" x14ac:dyDescent="0.25">
      <c r="A169" s="111">
        <f>IF(N169=0,0,VLOOKUP(N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B169" s="111">
        <f>IF(O169=0,0,VLOOKUP(O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C169" s="111">
        <f>IF(P169=0,0,VLOOKUP(P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D169" s="111">
        <f>IF(Q169=0,0,VLOOKUP(Q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E169" s="111">
        <f>IF(R169=0,0,VLOOKUP(R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F169" s="111">
        <f>IF(S169=0,0,VLOOKUP(S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G169" s="111">
        <f>IF(T169=0,0,VLOOKUP(T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H169" s="111">
        <f>IF(U169=0,0,VLOOKUP(U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I169" s="111">
        <f>IF(V169=0,0,VLOOKUP(V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J169" s="111">
        <f>IF(W169=0,0,VLOOKUP(W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K169" s="703" t="s">
        <v>425</v>
      </c>
      <c r="L169" s="706" t="e">
        <f>IF(K169=0,0,VLOOKUP(K169,CBGV!$B$4:$M$68,12,0))</f>
        <v>#N/A</v>
      </c>
      <c r="M169" s="426" t="s">
        <v>36</v>
      </c>
      <c r="N169" s="436" t="s">
        <v>31</v>
      </c>
      <c r="O169" s="437" t="s">
        <v>21</v>
      </c>
      <c r="P169" s="437" t="s">
        <v>148</v>
      </c>
      <c r="Q169" s="437" t="s">
        <v>121</v>
      </c>
      <c r="R169" s="444" t="s">
        <v>116</v>
      </c>
      <c r="S169" s="444" t="s">
        <v>196</v>
      </c>
      <c r="T169" s="444" t="s">
        <v>197</v>
      </c>
      <c r="U169" s="444" t="s">
        <v>198</v>
      </c>
      <c r="V169" s="423"/>
      <c r="W169" s="423"/>
      <c r="X169" s="709" t="e">
        <f>IF(K169=0,0,VLOOKUP(K169,CBGV!$B$4:$P$68,14,0))+IF(L169=0,0,VLOOKUP(L169,'T-L-K'!$B$7:$BH$36,2,0))</f>
        <v>#N/A</v>
      </c>
      <c r="Y169" s="712">
        <f>SUM(A169:J171)</f>
        <v>16</v>
      </c>
      <c r="Z169" s="712" t="e">
        <f>SUM(A169:J171)+X169</f>
        <v>#N/A</v>
      </c>
      <c r="AA169" s="709" t="e">
        <f>IF((Z169-(VLOOKUP(K169,CBGV!$B$4:$P$68,13,0)))&lt;=-14,"/",(Z169-(VLOOKUP(K169,CBGV!$B$4:$P$68,13,0))))</f>
        <v>#N/A</v>
      </c>
      <c r="AB169" s="88" t="s">
        <v>99</v>
      </c>
    </row>
    <row r="170" spans="1:28" ht="11.25" customHeight="1" x14ac:dyDescent="0.25">
      <c r="A170" s="111">
        <f>IF(N170=0,0,VLOOKUP(N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B170" s="111">
        <f>IF(O170=0,0,VLOOKUP(O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C170" s="111">
        <f>IF(P170=0,0,VLOOKUP(P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D170" s="111">
        <f>IF(Q170=0,0,VLOOKUP(Q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E170" s="111">
        <f>IF(R170=0,0,VLOOKUP(R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F170" s="111">
        <f>IF(S170=0,0,VLOOKUP(S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G170" s="111">
        <f>IF(T170=0,0,VLOOKUP(T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H170" s="111">
        <f>IF(U170=0,0,VLOOKUP(U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I170" s="111">
        <f>IF(V170=0,0,VLOOKUP(V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J170" s="111">
        <f>IF(W170=0,0,VLOOKUP(W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K170" s="704"/>
      <c r="L170" s="707"/>
      <c r="M170" s="427" t="s">
        <v>36</v>
      </c>
      <c r="N170" s="446" t="s">
        <v>18</v>
      </c>
      <c r="O170" s="447" t="s">
        <v>24</v>
      </c>
      <c r="P170" s="447" t="s">
        <v>142</v>
      </c>
      <c r="Q170" s="447" t="s">
        <v>124</v>
      </c>
      <c r="R170" s="444" t="s">
        <v>138</v>
      </c>
      <c r="S170" s="444" t="s">
        <v>201</v>
      </c>
      <c r="T170" s="444"/>
      <c r="U170" s="444"/>
      <c r="V170" s="424"/>
      <c r="W170" s="424"/>
      <c r="X170" s="710"/>
      <c r="Y170" s="710"/>
      <c r="Z170" s="710"/>
      <c r="AA170" s="710"/>
      <c r="AB170" s="88" t="s">
        <v>99</v>
      </c>
    </row>
    <row r="171" spans="1:28" ht="11.25" customHeight="1" x14ac:dyDescent="0.25">
      <c r="A171" s="111">
        <f>IF(N171=0,0,VLOOKUP(N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B171" s="111">
        <f>IF(O171=0,0,VLOOKUP(O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C171" s="111">
        <f>IF(P171=0,0,VLOOKUP(P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D171" s="111">
        <f>IF(Q171=0,0,VLOOKUP(Q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E171" s="111">
        <f>IF(R171=0,0,VLOOKUP(R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F171" s="111">
        <f>IF(S171=0,0,VLOOKUP(S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G171" s="111">
        <f>IF(T171=0,0,VLOOKUP(T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H171" s="111">
        <f>IF(U171=0,0,VLOOKUP(U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I171" s="111">
        <f>IF(V171=0,0,VLOOKUP(V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J171" s="111">
        <f>IF(W171=0,0,VLOOKUP(W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K171" s="705"/>
      <c r="L171" s="708"/>
      <c r="M171" s="52" t="s">
        <v>36</v>
      </c>
      <c r="N171" s="449" t="s">
        <v>27</v>
      </c>
      <c r="O171" s="450" t="s">
        <v>30</v>
      </c>
      <c r="P171" s="450"/>
      <c r="Q171" s="450"/>
      <c r="R171" s="451"/>
      <c r="S171" s="451"/>
      <c r="T171" s="451"/>
      <c r="U171" s="452"/>
      <c r="V171" s="291"/>
      <c r="W171" s="425"/>
      <c r="X171" s="711"/>
      <c r="Y171" s="711"/>
      <c r="Z171" s="711"/>
      <c r="AA171" s="711"/>
      <c r="AB171" s="88" t="s">
        <v>99</v>
      </c>
    </row>
    <row r="172" spans="1:28" ht="11.25" customHeight="1" x14ac:dyDescent="0.25">
      <c r="A172" s="111">
        <f>IF(N172=0,0,VLOOKUP(N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B172" s="111">
        <f>IF(O172=0,0,VLOOKUP(O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C172" s="111">
        <f>IF(P172=0,0,VLOOKUP(P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D172" s="111">
        <f>IF(Q172=0,0,VLOOKUP(Q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E172" s="111">
        <f>IF(R172=0,0,VLOOKUP(R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F172" s="111">
        <f>IF(S172=0,0,VLOOKUP(S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G172" s="111">
        <f>IF(T172=0,0,VLOOKUP(T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H172" s="111">
        <f>IF(U172=0,0,VLOOKUP(U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I172" s="111">
        <f>IF(V172=0,0,VLOOKUP(V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J172" s="111">
        <f>IF(W172=0,0,VLOOKUP(W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K172" s="713" t="s">
        <v>101</v>
      </c>
      <c r="L172" s="706">
        <f>IF(K172=0,0,VLOOKUP(K172,CBGV!$B$4:$M$68,12,0))</f>
        <v>0</v>
      </c>
      <c r="M172" s="54" t="s">
        <v>34</v>
      </c>
      <c r="N172" s="453"/>
      <c r="O172" s="454"/>
      <c r="P172" s="454"/>
      <c r="Q172" s="454"/>
      <c r="R172" s="455"/>
      <c r="S172" s="455"/>
      <c r="T172" s="455"/>
      <c r="U172" s="456"/>
      <c r="V172" s="422"/>
      <c r="W172" s="281"/>
      <c r="X172" s="706">
        <f>IF(K172=0,0,VLOOKUP(K172,CBGV!$B$4:$P$68,14,0))+IF(L172=0,0,VLOOKUP(L172,'T-L-K'!$B$7:$BH$36,2,0))</f>
        <v>0</v>
      </c>
      <c r="Y172" s="716">
        <f>SUM(A172:J174)</f>
        <v>18</v>
      </c>
      <c r="Z172" s="716">
        <f>SUM(A172:J174)+X172</f>
        <v>18</v>
      </c>
      <c r="AA172" s="706">
        <f>IF((Z172-(VLOOKUP(K172,CBGV!$B$4:$P$68,13,0)))&lt;=-14,"/",(Z172-(VLOOKUP(K172,CBGV!$B$4:$P$68,13,0))))</f>
        <v>1</v>
      </c>
      <c r="AB172" s="88" t="s">
        <v>99</v>
      </c>
    </row>
    <row r="173" spans="1:28" ht="11.25" customHeight="1" x14ac:dyDescent="0.25">
      <c r="A173" s="111">
        <f>IF(N173=0,0,VLOOKUP(N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B173" s="111">
        <f>IF(O173=0,0,VLOOKUP(O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C173" s="111">
        <f>IF(P173=0,0,VLOOKUP(P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D173" s="111">
        <f>IF(Q173=0,0,VLOOKUP(Q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E173" s="111">
        <f>IF(R173=0,0,VLOOKUP(R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F173" s="111">
        <f>IF(S173=0,0,VLOOKUP(S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G173" s="111">
        <f>IF(T173=0,0,VLOOKUP(T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H173" s="111">
        <f>IF(U173=0,0,VLOOKUP(U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I173" s="111">
        <f>IF(V173=0,0,VLOOKUP(V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J173" s="111">
        <f>IF(W173=0,0,VLOOKUP(W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K173" s="714"/>
      <c r="L173" s="707"/>
      <c r="M173" s="428" t="s">
        <v>34</v>
      </c>
      <c r="N173" s="446" t="s">
        <v>20</v>
      </c>
      <c r="O173" s="447" t="s">
        <v>140</v>
      </c>
      <c r="P173" s="447" t="s">
        <v>173</v>
      </c>
      <c r="Q173" s="447" t="s">
        <v>463</v>
      </c>
      <c r="R173" s="451" t="s">
        <v>214</v>
      </c>
      <c r="S173" s="451" t="s">
        <v>215</v>
      </c>
      <c r="T173" s="451" t="s">
        <v>514</v>
      </c>
      <c r="U173" s="451" t="s">
        <v>515</v>
      </c>
      <c r="V173" s="430"/>
      <c r="W173" s="286"/>
      <c r="X173" s="707"/>
      <c r="Y173" s="707"/>
      <c r="Z173" s="707"/>
      <c r="AA173" s="707"/>
      <c r="AB173" s="88" t="s">
        <v>99</v>
      </c>
    </row>
    <row r="174" spans="1:28" ht="11.25" customHeight="1" x14ac:dyDescent="0.25">
      <c r="A174" s="111">
        <f>IF(N174=0,0,VLOOKUP(N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B174" s="111">
        <f>IF(O174=0,0,VLOOKUP(O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C174" s="111">
        <f>IF(P174=0,0,VLOOKUP(P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D174" s="111">
        <f>IF(Q174=0,0,VLOOKUP(Q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E174" s="111">
        <f>IF(R174=0,0,VLOOKUP(R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F174" s="111">
        <f>IF(S174=0,0,VLOOKUP(S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G174" s="111">
        <f>IF(T174=0,0,VLOOKUP(T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H174" s="111">
        <f>IF(U174=0,0,VLOOKUP(U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I174" s="111">
        <f>IF(V174=0,0,VLOOKUP(V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J174" s="111">
        <f>IF(W174=0,0,VLOOKUP(W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K174" s="715"/>
      <c r="L174" s="708"/>
      <c r="M174" s="429" t="s">
        <v>36</v>
      </c>
      <c r="N174" s="457" t="s">
        <v>202</v>
      </c>
      <c r="O174" s="458" t="s">
        <v>203</v>
      </c>
      <c r="P174" s="450"/>
      <c r="Q174" s="450"/>
      <c r="R174" s="451"/>
      <c r="S174" s="451"/>
      <c r="T174" s="451"/>
      <c r="U174" s="452"/>
      <c r="V174" s="431"/>
      <c r="W174" s="291"/>
      <c r="X174" s="708"/>
      <c r="Y174" s="708"/>
      <c r="Z174" s="708"/>
      <c r="AA174" s="708"/>
      <c r="AB174" s="88" t="s">
        <v>99</v>
      </c>
    </row>
    <row r="175" spans="1:28" ht="11.25" customHeight="1" x14ac:dyDescent="0.25">
      <c r="A175" s="111">
        <f>IF(N175=0,0,VLOOKUP(N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B175" s="111">
        <f>IF(O175=0,0,VLOOKUP(O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C175" s="111">
        <f>IF(P175=0,0,VLOOKUP(P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D175" s="111">
        <f>IF(Q175=0,0,VLOOKUP(Q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E175" s="111">
        <f>IF(R175=0,0,VLOOKUP(R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F175" s="111">
        <f>IF(S175=0,0,VLOOKUP(S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G175" s="111">
        <f>IF(T175=0,0,VLOOKUP(T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H175" s="111">
        <f>IF(U175=0,0,VLOOKUP(U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I175" s="111">
        <f>IF(V175=0,0,VLOOKUP(V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J175" s="111">
        <f>IF(W175=0,0,VLOOKUP(W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K175" s="703" t="s">
        <v>102</v>
      </c>
      <c r="L175" s="706">
        <f>IF(K175=0,0,VLOOKUP(K175,CBGV!$B$4:$M$68,12,0))</f>
        <v>0</v>
      </c>
      <c r="M175" s="57" t="s">
        <v>34</v>
      </c>
      <c r="N175" s="453"/>
      <c r="O175" s="454"/>
      <c r="P175" s="454"/>
      <c r="Q175" s="454"/>
      <c r="R175" s="455"/>
      <c r="S175" s="455"/>
      <c r="T175" s="440"/>
      <c r="U175" s="441"/>
      <c r="V175" s="280"/>
      <c r="W175" s="281"/>
      <c r="X175" s="709">
        <f>IF(K175=0,0,VLOOKUP(K175,CBGV!$B$4:$P$68,14,0))+IF(L175=0,0,VLOOKUP(L175,'T-L-K'!$B$7:$BH$36,2,0))</f>
        <v>3</v>
      </c>
      <c r="Y175" s="712">
        <f>SUM(A175:J177)</f>
        <v>14</v>
      </c>
      <c r="Z175" s="712">
        <f>SUM(A175:J177)+X175</f>
        <v>17</v>
      </c>
      <c r="AA175" s="709">
        <f>IF((Z175-(VLOOKUP(K175,CBGV!$B$4:$P$68,13,0)))&lt;=-14,"/",(Z175-(VLOOKUP(K175,CBGV!$B$4:$P$68,13,0))))</f>
        <v>0</v>
      </c>
      <c r="AB175" s="88" t="s">
        <v>99</v>
      </c>
    </row>
    <row r="176" spans="1:28" ht="11.25" customHeight="1" x14ac:dyDescent="0.25">
      <c r="A176" s="111">
        <f>IF(N176=0,0,VLOOKUP(N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B176" s="111">
        <f>IF(O176=0,0,VLOOKUP(O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C176" s="111">
        <f>IF(P176=0,0,VLOOKUP(P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D176" s="111">
        <f>IF(Q176=0,0,VLOOKUP(Q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E176" s="111">
        <f>IF(R176=0,0,VLOOKUP(R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F176" s="111">
        <f>IF(S176=0,0,VLOOKUP(S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G176" s="111">
        <f>IF(T176=0,0,VLOOKUP(T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H176" s="111">
        <f>IF(U176=0,0,VLOOKUP(U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I176" s="111">
        <f>IF(V176=0,0,VLOOKUP(V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J176" s="111">
        <f>IF(W176=0,0,VLOOKUP(W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K176" s="704"/>
      <c r="L176" s="707"/>
      <c r="M176" s="427" t="s">
        <v>34</v>
      </c>
      <c r="N176" s="446" t="s">
        <v>138</v>
      </c>
      <c r="O176" s="447" t="s">
        <v>201</v>
      </c>
      <c r="P176" s="447" t="s">
        <v>202</v>
      </c>
      <c r="Q176" s="447" t="s">
        <v>203</v>
      </c>
      <c r="R176" s="455" t="s">
        <v>204</v>
      </c>
      <c r="S176" s="455" t="s">
        <v>305</v>
      </c>
      <c r="T176" s="459"/>
      <c r="U176" s="460"/>
      <c r="V176" s="285"/>
      <c r="W176" s="286"/>
      <c r="X176" s="710"/>
      <c r="Y176" s="710"/>
      <c r="Z176" s="710"/>
      <c r="AA176" s="710"/>
      <c r="AB176" s="88" t="s">
        <v>99</v>
      </c>
    </row>
    <row r="177" spans="1:28" ht="11.25" customHeight="1" x14ac:dyDescent="0.25">
      <c r="A177" s="111">
        <f>IF(N177=0,0,VLOOKUP(N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1</v>
      </c>
      <c r="B177" s="111">
        <f>IF(O177=0,0,VLOOKUP(O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1</v>
      </c>
      <c r="C177" s="111">
        <f>IF(P177=0,0,VLOOKUP(P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D177" s="111">
        <f>IF(Q177=0,0,VLOOKUP(Q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E177" s="111">
        <f>IF(R177=0,0,VLOOKUP(R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F177" s="111">
        <f>IF(S177=0,0,VLOOKUP(S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G177" s="111">
        <f>IF(T177=0,0,VLOOKUP(T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H177" s="111">
        <f>IF(U177=0,0,VLOOKUP(U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I177" s="111">
        <f>IF(V177=0,0,VLOOKUP(V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J177" s="111">
        <f>IF(W177=0,0,VLOOKUP(W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K177" s="705"/>
      <c r="L177" s="708"/>
      <c r="M177" s="432" t="s">
        <v>36</v>
      </c>
      <c r="N177" s="457" t="s">
        <v>204</v>
      </c>
      <c r="O177" s="458" t="s">
        <v>305</v>
      </c>
      <c r="P177" s="450"/>
      <c r="Q177" s="450"/>
      <c r="R177" s="451"/>
      <c r="S177" s="461"/>
      <c r="T177" s="462"/>
      <c r="U177" s="452"/>
      <c r="V177" s="290"/>
      <c r="W177" s="291"/>
      <c r="X177" s="711"/>
      <c r="Y177" s="711"/>
      <c r="Z177" s="711"/>
      <c r="AA177" s="711"/>
      <c r="AB177" s="88" t="s">
        <v>99</v>
      </c>
    </row>
    <row r="178" spans="1:28" ht="11.25" customHeight="1" x14ac:dyDescent="0.25">
      <c r="A178" s="111">
        <f>IF(N178=0,0,VLOOKUP(N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B178" s="111">
        <f>IF(O178=0,0,VLOOKUP(O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C178" s="111">
        <f>IF(P178=0,0,VLOOKUP(P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D178" s="111">
        <f>IF(Q178=0,0,VLOOKUP(Q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E178" s="111">
        <f>IF(R178=0,0,VLOOKUP(R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F178" s="111">
        <f>IF(S178=0,0,VLOOKUP(S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G178" s="111">
        <f>IF(T178=0,0,VLOOKUP(T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H178" s="111">
        <f>IF(U178=0,0,VLOOKUP(U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I178" s="111">
        <f>IF(V178=0,0,VLOOKUP(V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J178" s="111">
        <f>IF(W178=0,0,VLOOKUP(W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K178" s="713" t="s">
        <v>103</v>
      </c>
      <c r="L178" s="706" t="str">
        <f>IF(K178=0,0,VLOOKUP(K178,CBGV!$B$4:$M$68,12,0))</f>
        <v>10A3</v>
      </c>
      <c r="M178" s="413" t="s">
        <v>34</v>
      </c>
      <c r="N178" s="436" t="s">
        <v>31</v>
      </c>
      <c r="O178" s="437" t="s">
        <v>21</v>
      </c>
      <c r="P178" s="463" t="s">
        <v>148</v>
      </c>
      <c r="Q178" s="463" t="s">
        <v>121</v>
      </c>
      <c r="R178" s="464"/>
      <c r="S178" s="440"/>
      <c r="T178" s="465"/>
      <c r="U178" s="455"/>
      <c r="V178" s="455"/>
      <c r="W178" s="281"/>
      <c r="X178" s="706">
        <f>IF(K178=0,0,VLOOKUP(K178,CBGV!$B$4:$P$68,14,0))+IF(L178=0,0,VLOOKUP(L178,'T-L-K'!$B$7:$BH$36,2,0))</f>
        <v>5</v>
      </c>
      <c r="Y178" s="716">
        <f>SUM(A178:J180)</f>
        <v>12</v>
      </c>
      <c r="Z178" s="716">
        <f>SUM(A178:J180)+X178</f>
        <v>17</v>
      </c>
      <c r="AA178" s="706">
        <f>IF((Z178-(VLOOKUP(K178,CBGV!$B$4:$P$68,13,0)))&lt;=-14,"/",(Z178-(VLOOKUP(K178,CBGV!$B$4:$P$68,13,0))))</f>
        <v>0</v>
      </c>
      <c r="AB178" s="88" t="s">
        <v>99</v>
      </c>
    </row>
    <row r="179" spans="1:28" ht="11.25" customHeight="1" x14ac:dyDescent="0.25">
      <c r="A179" s="111">
        <f>IF(N179=0,0,VLOOKUP(N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B179" s="111">
        <f>IF(O179=0,0,VLOOKUP(O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C179" s="111">
        <f>IF(P179=0,0,VLOOKUP(P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D179" s="111">
        <f>IF(Q179=0,0,VLOOKUP(Q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E179" s="111">
        <f>IF(R179=0,0,VLOOKUP(R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F179" s="111">
        <f>IF(S179=0,0,VLOOKUP(S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G179" s="111">
        <f>IF(T179=0,0,VLOOKUP(T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H179" s="111">
        <f>IF(U179=0,0,VLOOKUP(U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I179" s="111">
        <f>IF(V179=0,0,VLOOKUP(V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J179" s="111">
        <f>IF(W179=0,0,VLOOKUP(W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K179" s="714"/>
      <c r="L179" s="707"/>
      <c r="M179" s="428" t="s">
        <v>34</v>
      </c>
      <c r="N179" s="446" t="s">
        <v>27</v>
      </c>
      <c r="O179" s="447" t="s">
        <v>30</v>
      </c>
      <c r="P179" s="467"/>
      <c r="Q179" s="467"/>
      <c r="R179" s="459"/>
      <c r="S179" s="448"/>
      <c r="T179" s="448"/>
      <c r="U179" s="460"/>
      <c r="V179" s="285"/>
      <c r="W179" s="286"/>
      <c r="X179" s="707"/>
      <c r="Y179" s="707"/>
      <c r="Z179" s="707"/>
      <c r="AA179" s="707"/>
      <c r="AB179" s="88" t="s">
        <v>99</v>
      </c>
    </row>
    <row r="180" spans="1:28" ht="11.25" customHeight="1" x14ac:dyDescent="0.25">
      <c r="A180" s="111">
        <f>IF(N180=0,0,VLOOKUP(N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B180" s="111">
        <f>IF(O180=0,0,VLOOKUP(O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C180" s="111">
        <f>IF(P180=0,0,VLOOKUP(P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D180" s="111">
        <f>IF(Q180=0,0,VLOOKUP(Q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E180" s="111">
        <f>IF(R180=0,0,VLOOKUP(R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F180" s="111">
        <f>IF(S180=0,0,VLOOKUP(S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G180" s="111">
        <f>IF(T180=0,0,VLOOKUP(T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H180" s="111">
        <f>IF(U180=0,0,VLOOKUP(U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I180" s="111">
        <f>IF(V180=0,0,VLOOKUP(V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J180" s="111">
        <f>IF(W180=0,0,VLOOKUP(W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K180" s="715"/>
      <c r="L180" s="708"/>
      <c r="M180" s="56" t="s">
        <v>34</v>
      </c>
      <c r="N180" s="453"/>
      <c r="O180" s="454"/>
      <c r="P180" s="454"/>
      <c r="Q180" s="454"/>
      <c r="R180" s="444"/>
      <c r="S180" s="451"/>
      <c r="T180" s="451"/>
      <c r="U180" s="452"/>
      <c r="V180" s="290"/>
      <c r="W180" s="291"/>
      <c r="X180" s="708"/>
      <c r="Y180" s="708"/>
      <c r="Z180" s="708"/>
      <c r="AA180" s="708"/>
      <c r="AB180" s="88" t="s">
        <v>99</v>
      </c>
    </row>
    <row r="181" spans="1:28" ht="11.25" customHeight="1" x14ac:dyDescent="0.25">
      <c r="A181" s="111">
        <f>IF(N181=0,0,VLOOKUP(N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B181" s="111">
        <f>IF(O181=0,0,VLOOKUP(O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C181" s="111">
        <f>IF(P181=0,0,VLOOKUP(P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D181" s="111">
        <f>IF(Q181=0,0,VLOOKUP(Q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E181" s="111">
        <f>IF(R181=0,0,VLOOKUP(R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F181" s="111">
        <f>IF(S181=0,0,VLOOKUP(S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G181" s="111">
        <f>IF(T181=0,0,VLOOKUP(T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H181" s="111">
        <f>IF(U181=0,0,VLOOKUP(U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I181" s="111">
        <f>IF(V181=0,0,VLOOKUP(V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J181" s="111">
        <f>IF(W181=0,0,VLOOKUP(W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K181" s="703" t="s">
        <v>104</v>
      </c>
      <c r="L181" s="706">
        <f>IF(K181=0,0,VLOOKUP(K181,CBGV!$B$4:$M$68,12,0))</f>
        <v>0</v>
      </c>
      <c r="M181" s="426" t="s">
        <v>34</v>
      </c>
      <c r="N181" s="436" t="s">
        <v>116</v>
      </c>
      <c r="O181" s="437" t="s">
        <v>196</v>
      </c>
      <c r="P181" s="437" t="s">
        <v>197</v>
      </c>
      <c r="Q181" s="437" t="s">
        <v>198</v>
      </c>
      <c r="R181" s="465"/>
      <c r="S181" s="465"/>
      <c r="T181" s="465"/>
      <c r="U181" s="466"/>
      <c r="V181" s="280"/>
      <c r="W181" s="281"/>
      <c r="X181" s="709">
        <f>IF(K181=0,0,VLOOKUP(K181,CBGV!$B$4:$P$68,14,0))+IF(L181=0,0,VLOOKUP(L181,'T-L-K'!$B$7:$BH$36,2,0))</f>
        <v>0</v>
      </c>
      <c r="Y181" s="712">
        <f>SUM(A181:J183)</f>
        <v>16</v>
      </c>
      <c r="Z181" s="712">
        <f>SUM(A181:J183)+X181</f>
        <v>16</v>
      </c>
      <c r="AA181" s="709">
        <f>IF((Z181-(VLOOKUP(K181,CBGV!$B$4:$P$68,13,0)))&lt;=-14,"/",(Z181-(VLOOKUP(K181,CBGV!$B$4:$P$68,13,0))))</f>
        <v>16</v>
      </c>
      <c r="AB181" s="88" t="s">
        <v>99</v>
      </c>
    </row>
    <row r="182" spans="1:28" ht="11.25" customHeight="1" x14ac:dyDescent="0.25">
      <c r="A182" s="111">
        <f>IF(N182=0,0,VLOOKUP(N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B182" s="111">
        <f>IF(O182=0,0,VLOOKUP(O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C182" s="111">
        <f>IF(P182=0,0,VLOOKUP(P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D182" s="111">
        <f>IF(Q182=0,0,VLOOKUP(Q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E182" s="111">
        <f>IF(R182=0,0,VLOOKUP(R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F182" s="111">
        <f>IF(S182=0,0,VLOOKUP(S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G182" s="111">
        <f>IF(T182=0,0,VLOOKUP(T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H182" s="111">
        <f>IF(U182=0,0,VLOOKUP(U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I182" s="111">
        <f>IF(V182=0,0,VLOOKUP(V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J182" s="111">
        <f>IF(W182=0,0,VLOOKUP(W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K182" s="704"/>
      <c r="L182" s="707"/>
      <c r="M182" s="427" t="s">
        <v>34</v>
      </c>
      <c r="N182" s="446" t="s">
        <v>18</v>
      </c>
      <c r="O182" s="447" t="s">
        <v>24</v>
      </c>
      <c r="P182" s="447" t="s">
        <v>142</v>
      </c>
      <c r="Q182" s="447" t="s">
        <v>124</v>
      </c>
      <c r="R182" s="448"/>
      <c r="S182" s="448"/>
      <c r="T182" s="448"/>
      <c r="U182" s="460"/>
      <c r="V182" s="285"/>
      <c r="W182" s="286"/>
      <c r="X182" s="710"/>
      <c r="Y182" s="710"/>
      <c r="Z182" s="710"/>
      <c r="AA182" s="710"/>
      <c r="AB182" s="88" t="s">
        <v>99</v>
      </c>
    </row>
    <row r="183" spans="1:28" ht="11.25" customHeight="1" x14ac:dyDescent="0.25">
      <c r="A183" s="111">
        <f>IF(N183=0,0,VLOOKUP(N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B183" s="111">
        <f>IF(O183=0,0,VLOOKUP(O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C183" s="111">
        <f>IF(P183=0,0,VLOOKUP(P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D183" s="111">
        <f>IF(Q183=0,0,VLOOKUP(Q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E183" s="111">
        <f>IF(R183=0,0,VLOOKUP(R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F183" s="111">
        <f>IF(S183=0,0,VLOOKUP(S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G183" s="111">
        <f>IF(T183=0,0,VLOOKUP(T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H183" s="111">
        <f>IF(U183=0,0,VLOOKUP(U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I183" s="111">
        <f>IF(V183=0,0,VLOOKUP(V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J183" s="111">
        <f>IF(W183=0,0,VLOOKUP(W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K183" s="705"/>
      <c r="L183" s="708"/>
      <c r="M183" s="52" t="s">
        <v>36</v>
      </c>
      <c r="N183" s="433"/>
      <c r="O183" s="434"/>
      <c r="P183" s="434"/>
      <c r="Q183" s="434"/>
      <c r="R183" s="435"/>
      <c r="S183" s="289"/>
      <c r="T183" s="289"/>
      <c r="U183" s="290"/>
      <c r="V183" s="290"/>
      <c r="W183" s="291"/>
      <c r="X183" s="711"/>
      <c r="Y183" s="711"/>
      <c r="Z183" s="711"/>
      <c r="AA183" s="711"/>
      <c r="AB183" s="88" t="s">
        <v>99</v>
      </c>
    </row>
    <row r="184" spans="1:28" s="58" customFormat="1" ht="12.75" customHeight="1" x14ac:dyDescent="0.25">
      <c r="B184" s="59"/>
      <c r="C184" s="60"/>
      <c r="E184" s="60"/>
      <c r="G184" s="60"/>
      <c r="I184" s="60"/>
      <c r="K184" s="61"/>
      <c r="L184" s="61"/>
      <c r="M184" s="135"/>
      <c r="N184" s="135"/>
      <c r="O184" s="134"/>
      <c r="P184" s="62"/>
      <c r="Q184" s="62"/>
      <c r="R184" s="62"/>
      <c r="S184" s="61"/>
      <c r="T184" s="61"/>
      <c r="U184" s="61"/>
      <c r="V184" s="61"/>
      <c r="W184" s="61"/>
      <c r="X184" s="63">
        <f>SUMIF(X4:X183,"&gt;0")</f>
        <v>243</v>
      </c>
      <c r="Y184" s="63">
        <f>SUMIF(Y4:Y183,"&gt;0")</f>
        <v>792</v>
      </c>
      <c r="Z184" s="63">
        <f>SUMIF(Z4:Z183,"&gt;0")</f>
        <v>1019</v>
      </c>
      <c r="AA184" s="63">
        <f>SUMIF(AA4:AA183,"&gt;0")+SUMIF(AA4:AA183,"&lt;0")</f>
        <v>84</v>
      </c>
      <c r="AB184" s="64"/>
    </row>
    <row r="185" spans="1:28" s="1" customFormat="1" x14ac:dyDescent="0.25">
      <c r="B185" s="46"/>
      <c r="C185" s="47"/>
      <c r="E185" s="47"/>
      <c r="G185" s="47"/>
      <c r="I185" s="47"/>
      <c r="K185" s="48"/>
      <c r="L185" s="53"/>
      <c r="M185" s="135"/>
      <c r="N185" s="135"/>
      <c r="O185" s="134"/>
      <c r="P185" s="48"/>
      <c r="Q185" s="48"/>
      <c r="R185" s="48"/>
      <c r="S185" s="48"/>
      <c r="T185" s="48"/>
      <c r="U185" s="48"/>
      <c r="V185" s="579" t="s">
        <v>302</v>
      </c>
      <c r="W185" s="579"/>
      <c r="X185" s="579"/>
      <c r="Y185" s="48"/>
      <c r="Z185" s="48"/>
      <c r="AA185" s="48"/>
      <c r="AB185" s="49"/>
    </row>
    <row r="186" spans="1:28" x14ac:dyDescent="0.25">
      <c r="M186" s="135"/>
      <c r="N186" s="135"/>
      <c r="O186" s="134"/>
    </row>
    <row r="187" spans="1:28" x14ac:dyDescent="0.25">
      <c r="V187" s="580"/>
      <c r="W187" s="580"/>
      <c r="X187" s="580"/>
    </row>
  </sheetData>
  <autoFilter ref="A3:AB18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65">
    <mergeCell ref="K52:K54"/>
    <mergeCell ref="L166:L168"/>
    <mergeCell ref="X157:X159"/>
    <mergeCell ref="Y157:Y159"/>
    <mergeCell ref="K157:K159"/>
    <mergeCell ref="L55:L57"/>
    <mergeCell ref="AA154:AA156"/>
    <mergeCell ref="K145:K147"/>
    <mergeCell ref="L145:L147"/>
    <mergeCell ref="K148:K150"/>
    <mergeCell ref="L148:L150"/>
    <mergeCell ref="Z148:Z150"/>
    <mergeCell ref="AA148:AA150"/>
    <mergeCell ref="X148:X150"/>
    <mergeCell ref="Z64:Z66"/>
    <mergeCell ref="AA64:AA66"/>
    <mergeCell ref="Z67:Z69"/>
    <mergeCell ref="AA67:AA69"/>
    <mergeCell ref="X67:X69"/>
    <mergeCell ref="Y67:Y69"/>
    <mergeCell ref="Y64:Y66"/>
    <mergeCell ref="X121:X123"/>
    <mergeCell ref="Y121:Y123"/>
    <mergeCell ref="X130:X132"/>
    <mergeCell ref="K1:O2"/>
    <mergeCell ref="P1:V1"/>
    <mergeCell ref="K49:K51"/>
    <mergeCell ref="L49:L51"/>
    <mergeCell ref="X55:X57"/>
    <mergeCell ref="K163:K165"/>
    <mergeCell ref="L163:L165"/>
    <mergeCell ref="X163:X165"/>
    <mergeCell ref="Y163:Y165"/>
    <mergeCell ref="Y148:Y150"/>
    <mergeCell ref="X145:X147"/>
    <mergeCell ref="Y145:Y147"/>
    <mergeCell ref="K151:K153"/>
    <mergeCell ref="L151:L153"/>
    <mergeCell ref="K154:K156"/>
    <mergeCell ref="L154:L156"/>
    <mergeCell ref="X151:X153"/>
    <mergeCell ref="K58:K60"/>
    <mergeCell ref="L58:L60"/>
    <mergeCell ref="K61:K63"/>
    <mergeCell ref="L61:L63"/>
    <mergeCell ref="X61:X63"/>
    <mergeCell ref="Y61:Y63"/>
    <mergeCell ref="K55:K57"/>
    <mergeCell ref="K160:K162"/>
    <mergeCell ref="L160:L162"/>
    <mergeCell ref="Z160:Z162"/>
    <mergeCell ref="L157:L159"/>
    <mergeCell ref="X160:X162"/>
    <mergeCell ref="Y160:Y162"/>
    <mergeCell ref="K142:K144"/>
    <mergeCell ref="L142:L144"/>
    <mergeCell ref="Z166:Z168"/>
    <mergeCell ref="X142:X144"/>
    <mergeCell ref="Y151:Y153"/>
    <mergeCell ref="X154:X156"/>
    <mergeCell ref="Y154:Y156"/>
    <mergeCell ref="Z139:Z141"/>
    <mergeCell ref="L118:L120"/>
    <mergeCell ref="Z118:Z120"/>
    <mergeCell ref="K121:K123"/>
    <mergeCell ref="L121:L123"/>
    <mergeCell ref="AA166:AA168"/>
    <mergeCell ref="Z163:Z165"/>
    <mergeCell ref="AA163:AA165"/>
    <mergeCell ref="Y142:Y144"/>
    <mergeCell ref="AA139:AA141"/>
    <mergeCell ref="Z142:Z144"/>
    <mergeCell ref="AA142:AA144"/>
    <mergeCell ref="Z133:Z135"/>
    <mergeCell ref="AA133:AA135"/>
    <mergeCell ref="K130:K132"/>
    <mergeCell ref="L130:L132"/>
    <mergeCell ref="K124:K126"/>
    <mergeCell ref="L124:L126"/>
    <mergeCell ref="K139:K141"/>
    <mergeCell ref="L139:L141"/>
    <mergeCell ref="X139:X141"/>
    <mergeCell ref="Y139:Y141"/>
    <mergeCell ref="K136:K138"/>
    <mergeCell ref="L136:L138"/>
    <mergeCell ref="K181:K183"/>
    <mergeCell ref="L181:L183"/>
    <mergeCell ref="X178:X180"/>
    <mergeCell ref="Y178:Y180"/>
    <mergeCell ref="X175:X177"/>
    <mergeCell ref="Y175:Y177"/>
    <mergeCell ref="K178:K180"/>
    <mergeCell ref="L178:L180"/>
    <mergeCell ref="K175:K177"/>
    <mergeCell ref="L175:L177"/>
    <mergeCell ref="K172:K174"/>
    <mergeCell ref="L172:L174"/>
    <mergeCell ref="X172:X174"/>
    <mergeCell ref="Y172:Y174"/>
    <mergeCell ref="X169:X171"/>
    <mergeCell ref="Y169:Y171"/>
    <mergeCell ref="K169:K171"/>
    <mergeCell ref="L169:L171"/>
    <mergeCell ref="X166:X168"/>
    <mergeCell ref="Y166:Y168"/>
    <mergeCell ref="K166:K168"/>
    <mergeCell ref="Z181:Z183"/>
    <mergeCell ref="AA181:AA183"/>
    <mergeCell ref="X181:X183"/>
    <mergeCell ref="Y181:Y183"/>
    <mergeCell ref="Z175:Z177"/>
    <mergeCell ref="AA175:AA177"/>
    <mergeCell ref="Z178:Z180"/>
    <mergeCell ref="AA178:AA180"/>
    <mergeCell ref="AA169:AA171"/>
    <mergeCell ref="Z172:Z174"/>
    <mergeCell ref="AA172:AA174"/>
    <mergeCell ref="Z169:Z171"/>
    <mergeCell ref="X133:X135"/>
    <mergeCell ref="Y133:Y135"/>
    <mergeCell ref="X124:X126"/>
    <mergeCell ref="Y124:Y126"/>
    <mergeCell ref="K133:K135"/>
    <mergeCell ref="L133:L135"/>
    <mergeCell ref="Y130:Y132"/>
    <mergeCell ref="X136:X138"/>
    <mergeCell ref="Y136:Y138"/>
    <mergeCell ref="Z106:Z108"/>
    <mergeCell ref="AA106:AA108"/>
    <mergeCell ref="K106:K108"/>
    <mergeCell ref="L106:L108"/>
    <mergeCell ref="Z112:Z114"/>
    <mergeCell ref="AA112:AA114"/>
    <mergeCell ref="K109:K111"/>
    <mergeCell ref="L109:L111"/>
    <mergeCell ref="X109:X111"/>
    <mergeCell ref="Y109:Y111"/>
    <mergeCell ref="Z109:Z111"/>
    <mergeCell ref="AA109:AA111"/>
    <mergeCell ref="K103:K105"/>
    <mergeCell ref="L103:L105"/>
    <mergeCell ref="K112:K114"/>
    <mergeCell ref="L112:L114"/>
    <mergeCell ref="X112:X114"/>
    <mergeCell ref="Y112:Y114"/>
    <mergeCell ref="X106:X108"/>
    <mergeCell ref="Y106:Y108"/>
    <mergeCell ref="X103:X105"/>
    <mergeCell ref="Y103:Y105"/>
    <mergeCell ref="X97:X99"/>
    <mergeCell ref="Y97:Y99"/>
    <mergeCell ref="X94:X96"/>
    <mergeCell ref="Y94:Y96"/>
    <mergeCell ref="Z97:Z99"/>
    <mergeCell ref="Z91:Z93"/>
    <mergeCell ref="AA91:AA93"/>
    <mergeCell ref="K118:K120"/>
    <mergeCell ref="AA97:AA99"/>
    <mergeCell ref="X100:X102"/>
    <mergeCell ref="Y100:Y102"/>
    <mergeCell ref="Z100:Z102"/>
    <mergeCell ref="AA100:AA102"/>
    <mergeCell ref="K97:K99"/>
    <mergeCell ref="L97:L99"/>
    <mergeCell ref="Z103:Z105"/>
    <mergeCell ref="AA103:AA105"/>
    <mergeCell ref="K100:K102"/>
    <mergeCell ref="L100:L102"/>
    <mergeCell ref="K94:K96"/>
    <mergeCell ref="L94:L96"/>
    <mergeCell ref="Z94:Z96"/>
    <mergeCell ref="AA94:AA96"/>
    <mergeCell ref="K91:K93"/>
    <mergeCell ref="L91:L93"/>
    <mergeCell ref="K85:K87"/>
    <mergeCell ref="L85:L87"/>
    <mergeCell ref="K88:K90"/>
    <mergeCell ref="L88:L90"/>
    <mergeCell ref="Z85:Z87"/>
    <mergeCell ref="AA85:AA87"/>
    <mergeCell ref="X85:X87"/>
    <mergeCell ref="Y85:Y87"/>
    <mergeCell ref="X91:X93"/>
    <mergeCell ref="Y91:Y93"/>
    <mergeCell ref="Z82:Z84"/>
    <mergeCell ref="AA82:AA84"/>
    <mergeCell ref="X82:X84"/>
    <mergeCell ref="Y82:Y84"/>
    <mergeCell ref="Z70:Z72"/>
    <mergeCell ref="AA70:AA72"/>
    <mergeCell ref="Z73:Z75"/>
    <mergeCell ref="AA73:AA75"/>
    <mergeCell ref="X79:X81"/>
    <mergeCell ref="Y79:Y81"/>
    <mergeCell ref="X76:X78"/>
    <mergeCell ref="Y76:Y78"/>
    <mergeCell ref="Z79:Z81"/>
    <mergeCell ref="AA79:AA81"/>
    <mergeCell ref="Z76:Z78"/>
    <mergeCell ref="AA76:AA78"/>
    <mergeCell ref="X73:X75"/>
    <mergeCell ref="Y73:Y75"/>
    <mergeCell ref="X70:X72"/>
    <mergeCell ref="Y70:Y72"/>
    <mergeCell ref="K76:K78"/>
    <mergeCell ref="L76:L78"/>
    <mergeCell ref="K82:K84"/>
    <mergeCell ref="L82:L84"/>
    <mergeCell ref="K79:K81"/>
    <mergeCell ref="L79:L81"/>
    <mergeCell ref="K73:K75"/>
    <mergeCell ref="L73:L75"/>
    <mergeCell ref="X64:X66"/>
    <mergeCell ref="K64:K66"/>
    <mergeCell ref="L64:L66"/>
    <mergeCell ref="K67:K69"/>
    <mergeCell ref="L67:L69"/>
    <mergeCell ref="K70:K72"/>
    <mergeCell ref="L70:L72"/>
    <mergeCell ref="L52:L54"/>
    <mergeCell ref="X52:X54"/>
    <mergeCell ref="Y52:Y54"/>
    <mergeCell ref="X49:X51"/>
    <mergeCell ref="Y49:Y51"/>
    <mergeCell ref="Z61:Z63"/>
    <mergeCell ref="AA61:AA63"/>
    <mergeCell ref="Z58:Z60"/>
    <mergeCell ref="AA58:AA60"/>
    <mergeCell ref="Z52:Z54"/>
    <mergeCell ref="AA52:AA54"/>
    <mergeCell ref="Z55:Z57"/>
    <mergeCell ref="AA55:AA57"/>
    <mergeCell ref="Z49:Z51"/>
    <mergeCell ref="AA49:AA51"/>
    <mergeCell ref="Y55:Y57"/>
    <mergeCell ref="X58:X60"/>
    <mergeCell ref="Y58:Y60"/>
    <mergeCell ref="K43:K45"/>
    <mergeCell ref="L43:L45"/>
    <mergeCell ref="K40:K42"/>
    <mergeCell ref="L40:L42"/>
    <mergeCell ref="X40:X42"/>
    <mergeCell ref="Y40:Y42"/>
    <mergeCell ref="K46:K48"/>
    <mergeCell ref="L46:L48"/>
    <mergeCell ref="Z43:Z45"/>
    <mergeCell ref="Z40:Z42"/>
    <mergeCell ref="X43:X45"/>
    <mergeCell ref="Y43:Y45"/>
    <mergeCell ref="Z46:Z48"/>
    <mergeCell ref="AA46:AA48"/>
    <mergeCell ref="X46:X48"/>
    <mergeCell ref="Y46:Y48"/>
    <mergeCell ref="AA43:AA45"/>
    <mergeCell ref="AA40:AA42"/>
    <mergeCell ref="X25:X27"/>
    <mergeCell ref="Y25:Y27"/>
    <mergeCell ref="Z37:Z39"/>
    <mergeCell ref="AA37:AA39"/>
    <mergeCell ref="X34:X36"/>
    <mergeCell ref="Y34:Y36"/>
    <mergeCell ref="X28:X30"/>
    <mergeCell ref="Y28:Y30"/>
    <mergeCell ref="Z34:Z36"/>
    <mergeCell ref="AA34:AA36"/>
    <mergeCell ref="Z31:Z33"/>
    <mergeCell ref="AA31:AA33"/>
    <mergeCell ref="Z28:Z30"/>
    <mergeCell ref="AA28:AA30"/>
    <mergeCell ref="Z25:Z27"/>
    <mergeCell ref="AA25:AA27"/>
    <mergeCell ref="Z22:Z24"/>
    <mergeCell ref="AA22:AA24"/>
    <mergeCell ref="X37:X39"/>
    <mergeCell ref="Y37:Y39"/>
    <mergeCell ref="X31:X33"/>
    <mergeCell ref="Y31:Y33"/>
    <mergeCell ref="X22:X24"/>
    <mergeCell ref="Y22:Y24"/>
    <mergeCell ref="X13:X15"/>
    <mergeCell ref="Y13:Y15"/>
    <mergeCell ref="Z13:Z15"/>
    <mergeCell ref="AA13:AA15"/>
    <mergeCell ref="X10:X12"/>
    <mergeCell ref="Y10:Y12"/>
    <mergeCell ref="Z10:Z12"/>
    <mergeCell ref="AA10:AA12"/>
    <mergeCell ref="L19:L21"/>
    <mergeCell ref="X16:X18"/>
    <mergeCell ref="Y16:Y18"/>
    <mergeCell ref="X19:X21"/>
    <mergeCell ref="Y19:Y21"/>
    <mergeCell ref="AA16:AA18"/>
    <mergeCell ref="Z19:Z21"/>
    <mergeCell ref="AA19:AA21"/>
    <mergeCell ref="Z16:Z18"/>
    <mergeCell ref="L4:L6"/>
    <mergeCell ref="K7:K9"/>
    <mergeCell ref="L7:L9"/>
    <mergeCell ref="X7:X9"/>
    <mergeCell ref="Y7:Y9"/>
    <mergeCell ref="Z4:Z6"/>
    <mergeCell ref="Y4:Y6"/>
    <mergeCell ref="AA4:AA6"/>
    <mergeCell ref="X4:X6"/>
    <mergeCell ref="Q2:R2"/>
    <mergeCell ref="T2:U2"/>
    <mergeCell ref="V2:W2"/>
    <mergeCell ref="Z1:AA1"/>
    <mergeCell ref="A3:J3"/>
    <mergeCell ref="N3:W3"/>
    <mergeCell ref="K10:K12"/>
    <mergeCell ref="L10:L12"/>
    <mergeCell ref="K31:K33"/>
    <mergeCell ref="L31:L33"/>
    <mergeCell ref="K13:K15"/>
    <mergeCell ref="L13:L15"/>
    <mergeCell ref="K16:K18"/>
    <mergeCell ref="L16:L18"/>
    <mergeCell ref="K25:K27"/>
    <mergeCell ref="L25:L27"/>
    <mergeCell ref="K19:K21"/>
    <mergeCell ref="K22:K24"/>
    <mergeCell ref="L22:L24"/>
    <mergeCell ref="K28:K30"/>
    <mergeCell ref="L28:L30"/>
    <mergeCell ref="Z7:Z9"/>
    <mergeCell ref="AA7:AA9"/>
    <mergeCell ref="K4:K6"/>
    <mergeCell ref="K34:K36"/>
    <mergeCell ref="L34:L36"/>
    <mergeCell ref="V185:X185"/>
    <mergeCell ref="V187:X187"/>
    <mergeCell ref="Y118:Y120"/>
    <mergeCell ref="X118:X120"/>
    <mergeCell ref="Z136:Z138"/>
    <mergeCell ref="AA136:AA138"/>
    <mergeCell ref="Z130:Z132"/>
    <mergeCell ref="AA130:AA132"/>
    <mergeCell ref="Z124:Z126"/>
    <mergeCell ref="AA124:AA126"/>
    <mergeCell ref="Z121:Z123"/>
    <mergeCell ref="AA121:AA123"/>
    <mergeCell ref="Z145:Z147"/>
    <mergeCell ref="AA145:AA147"/>
    <mergeCell ref="AA160:AA162"/>
    <mergeCell ref="Z157:Z159"/>
    <mergeCell ref="AA157:AA159"/>
    <mergeCell ref="Z151:Z153"/>
    <mergeCell ref="AA151:AA153"/>
    <mergeCell ref="Z154:Z156"/>
    <mergeCell ref="K37:K39"/>
    <mergeCell ref="L37:L39"/>
    <mergeCell ref="K115:K117"/>
    <mergeCell ref="L115:L117"/>
    <mergeCell ref="X115:X117"/>
    <mergeCell ref="Y115:Y117"/>
    <mergeCell ref="Z115:Z117"/>
    <mergeCell ref="AA115:AA117"/>
    <mergeCell ref="K127:K129"/>
    <mergeCell ref="L127:L129"/>
    <mergeCell ref="Y127:Y129"/>
    <mergeCell ref="Z127:Z129"/>
    <mergeCell ref="AA127:AA129"/>
    <mergeCell ref="AA118:AA120"/>
  </mergeCells>
  <phoneticPr fontId="17" type="noConversion"/>
  <printOptions horizontalCentered="1"/>
  <pageMargins left="0.31496062992125984" right="0" top="0.27559055118110237" bottom="0.15748031496062992" header="0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CP924"/>
  <sheetViews>
    <sheetView tabSelected="1" zoomScale="85" zoomScaleNormal="85" workbookViewId="0">
      <pane xSplit="3" ySplit="6" topLeftCell="D13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F13" sqref="F13"/>
    </sheetView>
  </sheetViews>
  <sheetFormatPr defaultColWidth="9" defaultRowHeight="15" x14ac:dyDescent="0.25"/>
  <cols>
    <col min="1" max="1" width="3.375" style="89" customWidth="1"/>
    <col min="2" max="2" width="2.875" style="89" customWidth="1"/>
    <col min="3" max="3" width="7.375" style="89" customWidth="1"/>
    <col min="4" max="31" width="4.125" style="89" customWidth="1"/>
    <col min="32" max="35" width="2.375" style="127" bestFit="1" customWidth="1"/>
    <col min="36" max="43" width="2.5" style="127" bestFit="1" customWidth="1"/>
    <col min="44" max="52" width="2.625" style="127" bestFit="1" customWidth="1"/>
    <col min="53" max="57" width="2.375" style="127" bestFit="1" customWidth="1"/>
    <col min="58" max="61" width="2.625" style="127" bestFit="1" customWidth="1"/>
    <col min="62" max="62" width="2.125" style="127" bestFit="1" customWidth="1"/>
    <col min="63" max="68" width="2.375" style="127" bestFit="1" customWidth="1"/>
    <col min="69" max="69" width="2.125" style="127" bestFit="1" customWidth="1"/>
    <col min="70" max="70" width="2.375" style="127" bestFit="1" customWidth="1"/>
    <col min="71" max="71" width="2.125" style="127" bestFit="1" customWidth="1"/>
    <col min="72" max="72" width="2.375" style="127" bestFit="1" customWidth="1"/>
    <col min="73" max="73" width="2.375" style="127" customWidth="1"/>
    <col min="74" max="76" width="2.625" style="127" bestFit="1" customWidth="1"/>
    <col min="77" max="77" width="2.625" style="127" customWidth="1"/>
    <col min="78" max="80" width="2.375" style="127" bestFit="1" customWidth="1"/>
    <col min="81" max="81" width="2.125" style="127" bestFit="1" customWidth="1"/>
    <col min="82" max="87" width="2.375" style="127" bestFit="1" customWidth="1"/>
    <col min="88" max="88" width="2.125" style="127" bestFit="1" customWidth="1"/>
    <col min="89" max="89" width="2.375" style="127" bestFit="1" customWidth="1"/>
    <col min="90" max="90" width="2.375" style="127" customWidth="1"/>
    <col min="91" max="94" width="2.625" style="127" bestFit="1" customWidth="1"/>
    <col min="95" max="104" width="7.375" style="89" customWidth="1"/>
    <col min="105" max="16384" width="9" style="89"/>
  </cols>
  <sheetData>
    <row r="1" spans="1:94" ht="26.45" customHeight="1" thickBot="1" x14ac:dyDescent="0.5">
      <c r="A1" s="726" t="s">
        <v>498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</row>
    <row r="2" spans="1:94" s="90" customFormat="1" ht="19.5" thickTop="1" x14ac:dyDescent="0.3">
      <c r="A2" s="728" t="s">
        <v>474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30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</row>
    <row r="3" spans="1:94" s="90" customFormat="1" ht="19.5" thickBot="1" x14ac:dyDescent="0.35">
      <c r="A3" s="311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4" t="s">
        <v>523</v>
      </c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s="91" customFormat="1" ht="12" thickTop="1" x14ac:dyDescent="0.2">
      <c r="A4" s="731" t="s">
        <v>188</v>
      </c>
      <c r="B4" s="734" t="s">
        <v>299</v>
      </c>
      <c r="C4" s="556" t="s">
        <v>300</v>
      </c>
      <c r="D4" s="557" t="s">
        <v>31</v>
      </c>
      <c r="E4" s="557" t="s">
        <v>21</v>
      </c>
      <c r="F4" s="557" t="s">
        <v>148</v>
      </c>
      <c r="G4" s="557" t="s">
        <v>121</v>
      </c>
      <c r="H4" s="557" t="s">
        <v>116</v>
      </c>
      <c r="I4" s="557" t="s">
        <v>196</v>
      </c>
      <c r="J4" s="557" t="s">
        <v>197</v>
      </c>
      <c r="K4" s="557" t="s">
        <v>198</v>
      </c>
      <c r="L4" s="557" t="s">
        <v>18</v>
      </c>
      <c r="M4" s="557" t="s">
        <v>24</v>
      </c>
      <c r="N4" s="557" t="s">
        <v>142</v>
      </c>
      <c r="O4" s="557" t="s">
        <v>124</v>
      </c>
      <c r="P4" s="557" t="s">
        <v>138</v>
      </c>
      <c r="Q4" s="557" t="s">
        <v>201</v>
      </c>
      <c r="R4" s="557" t="s">
        <v>202</v>
      </c>
      <c r="S4" s="557" t="s">
        <v>203</v>
      </c>
      <c r="T4" s="557" t="s">
        <v>204</v>
      </c>
      <c r="U4" s="557" t="s">
        <v>305</v>
      </c>
      <c r="V4" s="557" t="s">
        <v>27</v>
      </c>
      <c r="W4" s="557" t="s">
        <v>30</v>
      </c>
      <c r="X4" s="557" t="s">
        <v>20</v>
      </c>
      <c r="Y4" s="557" t="s">
        <v>140</v>
      </c>
      <c r="Z4" s="557" t="s">
        <v>173</v>
      </c>
      <c r="AA4" s="557" t="s">
        <v>213</v>
      </c>
      <c r="AB4" s="557" t="s">
        <v>214</v>
      </c>
      <c r="AC4" s="557" t="s">
        <v>215</v>
      </c>
      <c r="AD4" s="557" t="s">
        <v>219</v>
      </c>
      <c r="AE4" s="558" t="s">
        <v>478</v>
      </c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</row>
    <row r="5" spans="1:94" s="91" customFormat="1" ht="11.25" x14ac:dyDescent="0.2">
      <c r="A5" s="732"/>
      <c r="B5" s="735"/>
      <c r="C5" s="238" t="s">
        <v>459</v>
      </c>
      <c r="D5" s="96">
        <v>1</v>
      </c>
      <c r="E5" s="96">
        <v>2</v>
      </c>
      <c r="F5" s="96">
        <v>3</v>
      </c>
      <c r="G5" s="96">
        <v>4</v>
      </c>
      <c r="H5" s="96">
        <v>5</v>
      </c>
      <c r="I5" s="96">
        <v>6</v>
      </c>
      <c r="J5" s="96">
        <v>11</v>
      </c>
      <c r="K5" s="96">
        <v>12</v>
      </c>
      <c r="L5" s="96">
        <v>26</v>
      </c>
      <c r="M5" s="96">
        <v>27</v>
      </c>
      <c r="N5" s="96">
        <v>28</v>
      </c>
      <c r="O5" s="96">
        <v>29</v>
      </c>
      <c r="P5" s="96">
        <v>30</v>
      </c>
      <c r="Q5" s="96">
        <v>31</v>
      </c>
      <c r="R5" s="96">
        <v>32</v>
      </c>
      <c r="S5" s="96">
        <v>33</v>
      </c>
      <c r="T5" s="96">
        <v>34</v>
      </c>
      <c r="U5" s="96">
        <v>35</v>
      </c>
      <c r="V5" s="96">
        <v>7</v>
      </c>
      <c r="W5" s="96">
        <v>8</v>
      </c>
      <c r="X5" s="96">
        <v>9</v>
      </c>
      <c r="Y5" s="96">
        <v>10</v>
      </c>
      <c r="Z5" s="96">
        <v>13</v>
      </c>
      <c r="AA5" s="96">
        <v>14</v>
      </c>
      <c r="AB5" s="96">
        <v>15</v>
      </c>
      <c r="AC5" s="96">
        <v>16</v>
      </c>
      <c r="AD5" s="226">
        <v>17</v>
      </c>
      <c r="AE5" s="177">
        <v>18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</row>
    <row r="6" spans="1:94" s="91" customFormat="1" ht="12.75" x14ac:dyDescent="0.2">
      <c r="A6" s="733"/>
      <c r="B6" s="736"/>
      <c r="C6" s="239" t="s">
        <v>114</v>
      </c>
      <c r="D6" s="537" t="s">
        <v>81</v>
      </c>
      <c r="E6" s="537" t="s">
        <v>95</v>
      </c>
      <c r="F6" s="537" t="s">
        <v>103</v>
      </c>
      <c r="G6" s="537" t="s">
        <v>59</v>
      </c>
      <c r="H6" s="537" t="s">
        <v>504</v>
      </c>
      <c r="I6" s="537" t="s">
        <v>68</v>
      </c>
      <c r="J6" s="537" t="s">
        <v>50</v>
      </c>
      <c r="K6" s="537" t="s">
        <v>51</v>
      </c>
      <c r="L6" s="536" t="s">
        <v>79</v>
      </c>
      <c r="M6" s="536" t="s">
        <v>220</v>
      </c>
      <c r="N6" s="536" t="s">
        <v>78</v>
      </c>
      <c r="O6" s="536" t="s">
        <v>13</v>
      </c>
      <c r="P6" s="536" t="s">
        <v>67</v>
      </c>
      <c r="Q6" s="536" t="s">
        <v>190</v>
      </c>
      <c r="R6" s="536" t="s">
        <v>73</v>
      </c>
      <c r="S6" s="536" t="s">
        <v>60</v>
      </c>
      <c r="T6" s="536" t="s">
        <v>53</v>
      </c>
      <c r="U6" s="536" t="s">
        <v>97</v>
      </c>
      <c r="V6" s="537" t="s">
        <v>66</v>
      </c>
      <c r="W6" s="537" t="s">
        <v>47</v>
      </c>
      <c r="X6" s="537" t="s">
        <v>74</v>
      </c>
      <c r="Y6" s="537" t="s">
        <v>45</v>
      </c>
      <c r="Z6" s="537" t="s">
        <v>69</v>
      </c>
      <c r="AA6" s="537" t="s">
        <v>91</v>
      </c>
      <c r="AB6" s="537" t="s">
        <v>61</v>
      </c>
      <c r="AC6" s="537" t="s">
        <v>90</v>
      </c>
      <c r="AD6" s="537" t="s">
        <v>58</v>
      </c>
      <c r="AE6" s="559" t="s">
        <v>85</v>
      </c>
      <c r="AF6" s="129" t="s">
        <v>13</v>
      </c>
      <c r="AG6" s="129" t="s">
        <v>45</v>
      </c>
      <c r="AH6" s="129" t="s">
        <v>46</v>
      </c>
      <c r="AI6" s="129" t="s">
        <v>47</v>
      </c>
      <c r="AJ6" s="129" t="s">
        <v>48</v>
      </c>
      <c r="AK6" s="129" t="s">
        <v>49</v>
      </c>
      <c r="AL6" s="129" t="s">
        <v>50</v>
      </c>
      <c r="AM6" s="129" t="s">
        <v>51</v>
      </c>
      <c r="AN6" s="129" t="s">
        <v>52</v>
      </c>
      <c r="AO6" s="129" t="s">
        <v>53</v>
      </c>
      <c r="AP6" s="129" t="s">
        <v>54</v>
      </c>
      <c r="AQ6" s="129" t="s">
        <v>55</v>
      </c>
      <c r="AR6" s="129" t="s">
        <v>56</v>
      </c>
      <c r="AS6" s="129" t="s">
        <v>236</v>
      </c>
      <c r="AT6" s="129" t="s">
        <v>57</v>
      </c>
      <c r="AU6" s="129" t="s">
        <v>58</v>
      </c>
      <c r="AV6" s="129" t="s">
        <v>59</v>
      </c>
      <c r="AW6" s="129" t="s">
        <v>60</v>
      </c>
      <c r="AX6" s="129" t="s">
        <v>61</v>
      </c>
      <c r="AY6" s="129" t="s">
        <v>62</v>
      </c>
      <c r="AZ6" s="129" t="s">
        <v>63</v>
      </c>
      <c r="BA6" s="129" t="s">
        <v>64</v>
      </c>
      <c r="BB6" s="129" t="s">
        <v>66</v>
      </c>
      <c r="BC6" s="129" t="s">
        <v>67</v>
      </c>
      <c r="BD6" s="129" t="s">
        <v>68</v>
      </c>
      <c r="BE6" s="129" t="s">
        <v>69</v>
      </c>
      <c r="BF6" s="129" t="s">
        <v>70</v>
      </c>
      <c r="BG6" s="129" t="s">
        <v>72</v>
      </c>
      <c r="BH6" s="129" t="s">
        <v>73</v>
      </c>
      <c r="BI6" s="129" t="s">
        <v>74</v>
      </c>
      <c r="BJ6" s="129" t="s">
        <v>75</v>
      </c>
      <c r="BK6" s="129" t="s">
        <v>76</v>
      </c>
      <c r="BL6" s="129" t="s">
        <v>77</v>
      </c>
      <c r="BM6" s="129" t="s">
        <v>78</v>
      </c>
      <c r="BN6" s="129" t="s">
        <v>79</v>
      </c>
      <c r="BO6" s="129" t="s">
        <v>80</v>
      </c>
      <c r="BP6" s="129" t="s">
        <v>81</v>
      </c>
      <c r="BQ6" s="129" t="s">
        <v>189</v>
      </c>
      <c r="BR6" s="129" t="s">
        <v>82</v>
      </c>
      <c r="BS6" s="129" t="s">
        <v>87</v>
      </c>
      <c r="BT6" s="129" t="s">
        <v>88</v>
      </c>
      <c r="BU6" s="129" t="s">
        <v>426</v>
      </c>
      <c r="BV6" s="129" t="s">
        <v>83</v>
      </c>
      <c r="BW6" s="129" t="s">
        <v>85</v>
      </c>
      <c r="BX6" s="129" t="s">
        <v>86</v>
      </c>
      <c r="BY6" s="129" t="s">
        <v>504</v>
      </c>
      <c r="BZ6" s="129" t="s">
        <v>90</v>
      </c>
      <c r="CA6" s="129" t="s">
        <v>91</v>
      </c>
      <c r="CB6" s="129" t="s">
        <v>92</v>
      </c>
      <c r="CC6" s="129" t="s">
        <v>220</v>
      </c>
      <c r="CD6" s="129" t="s">
        <v>93</v>
      </c>
      <c r="CE6" s="129" t="s">
        <v>190</v>
      </c>
      <c r="CF6" s="129" t="s">
        <v>94</v>
      </c>
      <c r="CG6" s="129" t="s">
        <v>95</v>
      </c>
      <c r="CH6" s="129" t="s">
        <v>96</v>
      </c>
      <c r="CI6" s="129" t="s">
        <v>97</v>
      </c>
      <c r="CJ6" s="129" t="s">
        <v>98</v>
      </c>
      <c r="CK6" s="129" t="s">
        <v>100</v>
      </c>
      <c r="CL6" s="129" t="s">
        <v>425</v>
      </c>
      <c r="CM6" s="129" t="s">
        <v>101</v>
      </c>
      <c r="CN6" s="129" t="s">
        <v>102</v>
      </c>
      <c r="CO6" s="129" t="s">
        <v>103</v>
      </c>
      <c r="CP6" s="129" t="s">
        <v>104</v>
      </c>
    </row>
    <row r="7" spans="1:94" s="90" customFormat="1" ht="15.75" customHeight="1" x14ac:dyDescent="0.3">
      <c r="A7" s="737">
        <v>2</v>
      </c>
      <c r="B7" s="92">
        <v>1</v>
      </c>
      <c r="C7" s="240" t="s">
        <v>301</v>
      </c>
      <c r="D7" s="480" t="s">
        <v>472</v>
      </c>
      <c r="E7" s="481" t="s">
        <v>472</v>
      </c>
      <c r="F7" s="481" t="s">
        <v>472</v>
      </c>
      <c r="G7" s="481" t="s">
        <v>472</v>
      </c>
      <c r="H7" s="481" t="s">
        <v>472</v>
      </c>
      <c r="I7" s="481" t="s">
        <v>472</v>
      </c>
      <c r="J7" s="481" t="s">
        <v>472</v>
      </c>
      <c r="K7" s="481" t="s">
        <v>472</v>
      </c>
      <c r="L7" s="481" t="s">
        <v>472</v>
      </c>
      <c r="M7" s="481" t="s">
        <v>472</v>
      </c>
      <c r="N7" s="481" t="s">
        <v>472</v>
      </c>
      <c r="O7" s="481" t="s">
        <v>472</v>
      </c>
      <c r="P7" s="481" t="s">
        <v>472</v>
      </c>
      <c r="Q7" s="481" t="s">
        <v>472</v>
      </c>
      <c r="R7" s="481" t="s">
        <v>472</v>
      </c>
      <c r="S7" s="481" t="s">
        <v>472</v>
      </c>
      <c r="T7" s="481" t="s">
        <v>472</v>
      </c>
      <c r="U7" s="481" t="s">
        <v>472</v>
      </c>
      <c r="V7" s="481" t="s">
        <v>472</v>
      </c>
      <c r="W7" s="481" t="s">
        <v>472</v>
      </c>
      <c r="X7" s="481" t="s">
        <v>472</v>
      </c>
      <c r="Y7" s="481" t="s">
        <v>472</v>
      </c>
      <c r="Z7" s="481" t="s">
        <v>472</v>
      </c>
      <c r="AA7" s="481" t="s">
        <v>472</v>
      </c>
      <c r="AB7" s="481" t="s">
        <v>472</v>
      </c>
      <c r="AC7" s="481" t="s">
        <v>472</v>
      </c>
      <c r="AD7" s="481" t="s">
        <v>472</v>
      </c>
      <c r="AE7" s="482" t="s">
        <v>472</v>
      </c>
      <c r="AF7" s="130" t="str">
        <f t="shared" ref="AF7:AF12" si="0">IF(COUNTIF($D7:$AD7,"T2")&gt;=1,COUNTIF($D7:$AD7,"T2"),"")</f>
        <v/>
      </c>
      <c r="AG7" s="130" t="str">
        <f>IF(COUNTIF($D7:$AD7,"T3")&gt;=1,COUNTIF($D7:$AD7,"T3"),"")</f>
        <v/>
      </c>
      <c r="AH7" s="130" t="str">
        <f>IF(COUNTIF($D7:$AD7,"T4")&gt;=1,COUNTIF($D7:$AD7,"T4"),"")</f>
        <v/>
      </c>
      <c r="AI7" s="130" t="str">
        <f>IF(COUNTIF($D7:$AD7,"T5")&gt;=1,COUNTIF($D7:$AD7,"T5"),"")</f>
        <v/>
      </c>
      <c r="AJ7" s="130" t="str">
        <f>IF(COUNTIF($D7:$AD7,"TT1")&gt;=1,COUNTIF($D7:$AD7,"TT1"),"")</f>
        <v/>
      </c>
      <c r="AK7" s="130" t="str">
        <f t="shared" ref="AK7:AK34" si="1">IF(COUNTIF($D7:$AE7,"TT2")&gt;=1,COUNTIF($D7:$AE7,"TT2"),"")</f>
        <v/>
      </c>
      <c r="AL7" s="130" t="str">
        <f t="shared" ref="AL7:AL34" si="2">IF(COUNTIF($D7:$AE7,"TT3")&gt;=1,COUNTIF($D7:$AE7,"TT3"),"")</f>
        <v/>
      </c>
      <c r="AM7" s="130" t="str">
        <f t="shared" ref="AM7:AM34" si="3">IF(COUNTIF($D7:$AE7,"TT4")&gt;=1,COUNTIF($D7:$AE7,"TT4"),"")</f>
        <v/>
      </c>
      <c r="AN7" s="130" t="str">
        <f t="shared" ref="AN7:AN29" si="4">IF(COUNTIF($D7:$AE7,"TT5")&gt;=1,COUNTIF($D7:$AE7,"TT5"),"")</f>
        <v/>
      </c>
      <c r="AO7" s="130" t="str">
        <f t="shared" ref="AO7:AO34" si="5">IF(COUNTIF($D7:$AE7,"TT6")&gt;=1,COUNTIF($D7:$AE7,"TT6"),"")</f>
        <v/>
      </c>
      <c r="AP7" s="130" t="str">
        <f t="shared" ref="AP7:AP34" si="6">IF(COUNTIF($D7:$AE7,"TT7")&gt;=1,COUNTIF($D7:$AE7,"TT7"),"")</f>
        <v/>
      </c>
      <c r="AQ7" s="130" t="str">
        <f t="shared" ref="AQ7:AQ34" si="7">IF(COUNTIF($D7:$AE7,"TT9")&gt;=1,COUNTIF($D7:$AE7,"TT9"),"")</f>
        <v/>
      </c>
      <c r="AR7" s="130" t="str">
        <f t="shared" ref="AR7:AR34" si="8">IF(COUNTIF($D7:$AE7,"Tn3")&gt;=1,COUNTIF($D7:$AE7,"Tn3"),"")</f>
        <v/>
      </c>
      <c r="AS7" s="130" t="str">
        <f t="shared" ref="AS7:AS34" si="9">IF(COUNTIF($D7:$AE7,"Tn4")&gt;=1,COUNTIF($D7:$AE7,"Tn4"),"")</f>
        <v/>
      </c>
      <c r="AT7" s="130" t="str">
        <f t="shared" ref="AT7:AT34" si="10">IF(COUNTIF($D7:$AE7,"LC2")&gt;=1,COUNTIF($D7:$AE7,"LC2"),"")</f>
        <v/>
      </c>
      <c r="AU7" s="130" t="str">
        <f t="shared" ref="AU7:AU34" si="11">IF(COUNTIF($D7:$AE7,"LC3")&gt;=1,COUNTIF($D7:$AE7,"LC3"),"")</f>
        <v/>
      </c>
      <c r="AV7" s="130" t="str">
        <f t="shared" ref="AV7:AV34" si="12">IF(COUNTIF($D7:$AE7,"LC4")&gt;=1,COUNTIF($D7:$AE7,"LC4"),"")</f>
        <v/>
      </c>
      <c r="AW7" s="130" t="str">
        <f t="shared" ref="AW7:AW34" si="13">IF(COUNTIF($D7:$AE7,"LC5")&gt;=1,COUNTIF($D7:$AE7,"LC5"),"")</f>
        <v/>
      </c>
      <c r="AX7" s="130" t="str">
        <f t="shared" ref="AX7:AX34" si="14">IF(COUNTIF($D7:$AE7,"LC6")&gt;=1,COUNTIF($D7:$AE7,"LC6"),"")</f>
        <v/>
      </c>
      <c r="AY7" s="130" t="str">
        <f t="shared" ref="AY7:AY34" si="15">IF(COUNTIF($D7:$AE7,"LC7")&gt;=1,COUNTIF($D7:$AE7,"LC7"),"")</f>
        <v/>
      </c>
      <c r="AZ7" s="130" t="str">
        <f t="shared" ref="AZ7:AZ34" si="16">IF(COUNTIF($D7:$AE7,"LC8")&gt;=1,COUNTIF($D7:$AE7,"LC8"),"")</f>
        <v/>
      </c>
      <c r="BA7" s="130" t="str">
        <f t="shared" ref="BA7:BA34" si="17">IF(COUNTIF($D7:$AE7,"H1")&gt;=1,COUNTIF($D7:$AE7,"H1"),"")</f>
        <v/>
      </c>
      <c r="BB7" s="130" t="str">
        <f t="shared" ref="BB7:BB34" si="18">IF(COUNTIF($D7:$AE7,"H2")&gt;=1,COUNTIF($D7:$AE7,"H2"),"")</f>
        <v/>
      </c>
      <c r="BC7" s="130" t="str">
        <f t="shared" ref="BC7:BC34" si="19">IF(COUNTIF($D7:$AE7,"H3")&gt;=1,COUNTIF($D7:$AE7,"H3"),"")</f>
        <v/>
      </c>
      <c r="BD7" s="130" t="str">
        <f t="shared" ref="BD7:BD34" si="20">IF(COUNTIF($D7:$AE7,"H4")&gt;=1,COUNTIF($D7:$AE7,"H4"),"")</f>
        <v/>
      </c>
      <c r="BE7" s="130" t="str">
        <f t="shared" ref="BE7:BE34" si="21">IF(COUNTIF($D7:$AE7,"H5")&gt;=1,COUNTIF($D7:$AE7,"H5"),"")</f>
        <v/>
      </c>
      <c r="BF7" s="130" t="str">
        <f t="shared" ref="BF7:BF34" si="22">IF(COUNTIF($D7:$AE7,"SN1")&gt;=1,COUNTIF($D7:$AE7,"SN1"),"")</f>
        <v/>
      </c>
      <c r="BG7" s="130" t="str">
        <f t="shared" ref="BG7:BG34" si="23">IF(COUNTIF($D7:$AE7,"SN2")&gt;=1,COUNTIF($D7:$AE7,"SN2"),"")</f>
        <v/>
      </c>
      <c r="BH7" s="130" t="str">
        <f t="shared" ref="BH7:BH34" si="24">IF(COUNTIF($D7:$AE7,"SN3")&gt;=1,COUNTIF($D7:$AE7,"SN3"),"")</f>
        <v/>
      </c>
      <c r="BI7" s="130" t="str">
        <f t="shared" ref="BI7:BI34" si="25">IF(COUNTIF($D7:$AE7,"SN4")&gt;=1,COUNTIF($D7:$AE7,"SN4"),"")</f>
        <v/>
      </c>
      <c r="BJ7" s="130" t="str">
        <f t="shared" ref="BJ7:BJ34" si="26">IF(COUNTIF($D7:$AE7,"V1")&gt;=1,COUNTIF($D7:$AE7,"V1"),"")</f>
        <v/>
      </c>
      <c r="BK7" s="130" t="str">
        <f t="shared" ref="BK7:BK34" si="27">IF(COUNTIF($D7:$AE7,"V2")&gt;=1,COUNTIF($D7:$AE7,"V2"),"")</f>
        <v/>
      </c>
      <c r="BL7" s="130" t="str">
        <f t="shared" ref="BL7:BL34" si="28">IF(COUNTIF($D7:$AE7,"V3")&gt;=1,COUNTIF($D7:$AE7,"V3"),"")</f>
        <v/>
      </c>
      <c r="BM7" s="130" t="str">
        <f t="shared" ref="BM7:BM34" si="29">IF(COUNTIF($D7:$AE7,"V4")&gt;=1,COUNTIF($D7:$AE7,"V4"),"")</f>
        <v/>
      </c>
      <c r="BN7" s="130" t="str">
        <f t="shared" ref="BN7:BN34" si="30">IF(COUNTIF($D7:$AE7,"V5")&gt;=1,COUNTIF($D7:$AE7,"V5"),"")</f>
        <v/>
      </c>
      <c r="BO7" s="130" t="str">
        <f t="shared" ref="BO7:BO34" si="31">IF(COUNTIF($D7:$AE7,"V6")&gt;=1,COUNTIF($D7:$AE7,"V6"),"")</f>
        <v/>
      </c>
      <c r="BP7" s="130" t="str">
        <f t="shared" ref="BP7:BP34" si="32">IF(COUNTIF($D7:$AE7,"V7")&gt;=1,COUNTIF($D7:$AE7,"V7"),"")</f>
        <v/>
      </c>
      <c r="BQ7" s="130" t="str">
        <f t="shared" ref="BQ7:BQ34" si="33">IF(COUNTIF($D7:$AE7,"V8")&gt;=1,COUNTIF($D7:$AE7,"V8"),"")</f>
        <v/>
      </c>
      <c r="BR7" s="130" t="str">
        <f t="shared" ref="BR7:BR34" si="34">IF(COUNTIF($D7:$AE7,"V9")&gt;=1,COUNTIF($D7:$AE7,"V9"),"")</f>
        <v/>
      </c>
      <c r="BS7" s="130" t="str">
        <f t="shared" ref="BS7:BS34" si="35">IF(COUNTIF($D7:$AE7,"G1")&gt;=1,COUNTIF($D7:$AE7,"G1"),"")</f>
        <v/>
      </c>
      <c r="BT7" s="130" t="str">
        <f t="shared" ref="BT7:BT34" si="36">IF(COUNTIF($D7:$AE7,"G2")&gt;=1,COUNTIF($D7:$AE7,"G2"),"")</f>
        <v/>
      </c>
      <c r="BU7" s="130" t="str">
        <f t="shared" ref="BU7:BU34" si="37">IF(COUNTIF($D7:$AE7,"G3")&gt;=1,COUNTIF($D7:$AE7,"G3"),"")</f>
        <v/>
      </c>
      <c r="BV7" s="130" t="str">
        <f t="shared" ref="BV7:BV34" si="38">IF(COUNTIF($D7:$AE7,"SG1")&gt;=1,COUNTIF($D7:$AE7,"SG1"),"")</f>
        <v/>
      </c>
      <c r="BW7" s="130" t="str">
        <f t="shared" ref="BW7:BW34" si="39">IF(COUNTIF($D7:$AE7,"SG2")&gt;=1,COUNTIF($D7:$AE7,"SG2"),"")</f>
        <v/>
      </c>
      <c r="BX7" s="130" t="str">
        <f t="shared" ref="BX7:BX34" si="40">IF(COUNTIF($D7:$AE7,"SG3")&gt;=1,COUNTIF($D7:$AE7,"SG3"),"")</f>
        <v/>
      </c>
      <c r="BY7" s="130" t="str">
        <f t="shared" ref="BY7:BY34" si="41">IF(COUNTIF($D7:$AE7,"Sg4")&gt;=1,COUNTIF($D7:$AE7,"Sg4"),"")</f>
        <v/>
      </c>
      <c r="BZ7" s="130" t="str">
        <f t="shared" ref="BZ7:BZ34" si="42">IF(COUNTIF($D7:$AE7,"D2")&gt;=1,COUNTIF($D7:$AE7,"D2"),"")</f>
        <v/>
      </c>
      <c r="CA7" s="130" t="str">
        <f t="shared" ref="CA7:CA34" si="43">IF(COUNTIF($D7:$AE7,"D3")&gt;=1,COUNTIF($D7:$AE7,"D3"),"")</f>
        <v/>
      </c>
      <c r="CB7" s="130" t="str">
        <f t="shared" ref="CB7:CB34" si="44">IF(COUNTIF($D7:$AE7,"D4")&gt;=1,COUNTIF($D7:$AE7,"D4"),"")</f>
        <v/>
      </c>
      <c r="CC7" s="130" t="str">
        <f t="shared" ref="CC7:CC34" si="45">IF(COUNTIF($D7:$AE7,"D5")&gt;=1,COUNTIF($D7:$AE7,"D5"),"")</f>
        <v/>
      </c>
      <c r="CD7" s="130" t="str">
        <f t="shared" ref="CD7:CD34" si="46">IF(COUNTIF($D7:$AE7,"A1")&gt;=1,COUNTIF($D7:$AE7,"A1"),"")</f>
        <v/>
      </c>
      <c r="CE7" s="130" t="str">
        <f t="shared" ref="CE7:CE34" si="47">IF(COUNTIF($D7:$AE7,"A2")&gt;=1,COUNTIF($D7:$AE7,"A2"),"")</f>
        <v/>
      </c>
      <c r="CF7" s="130" t="str">
        <f t="shared" ref="CF7:CF34" si="48">IF(COUNTIF($D7:$AE7,"A3")&gt;=1,COUNTIF($D7:$AE7,"A3"),"")</f>
        <v/>
      </c>
      <c r="CG7" s="130" t="str">
        <f t="shared" ref="CG7:CG34" si="49">IF(COUNTIF($D7:$AE7,"A4")&gt;=1,COUNTIF($D7:$AE7,"A4"),"")</f>
        <v/>
      </c>
      <c r="CH7" s="130" t="str">
        <f t="shared" ref="CH7:CH34" si="50">IF(COUNTIF($D7:$AE7,"A5")&gt;=1,COUNTIF($D7:$AE7,"A5"),"")</f>
        <v/>
      </c>
      <c r="CI7" s="130" t="str">
        <f t="shared" ref="CI7:CI34" si="51">IF(COUNTIF($D7:$AE7,"A6")&gt;=1,COUNTIF($D7:$AE7,"A6"),"")</f>
        <v/>
      </c>
      <c r="CJ7" s="130" t="str">
        <f t="shared" ref="CJ7:CJ34" si="52">IF(COUNTIF($D7:$AE7,"Q1")&gt;=1,COUNTIF($D7:$AE7,"Q1"),"")</f>
        <v/>
      </c>
      <c r="CK7" s="130" t="str">
        <f t="shared" ref="CK7:CK34" si="53">IF(COUNTIF($D7:$AE7,"Q2")&gt;=1,COUNTIF($D7:$AE7,"Q2"),"")</f>
        <v/>
      </c>
      <c r="CL7" s="130" t="str">
        <f t="shared" ref="CL7:CL34" si="54">IF(COUNTIF($D7:$AE7,"Q3")&gt;=1,COUNTIF($D7:$AE7,"Q3"),"")</f>
        <v/>
      </c>
      <c r="CM7" s="130" t="str">
        <f t="shared" ref="CM7:CM34" si="55">IF(COUNTIF($D7:$AE7,"TQ1")&gt;=1,COUNTIF($D7:$AE7,"TQ1"),"")</f>
        <v/>
      </c>
      <c r="CN7" s="130" t="str">
        <f t="shared" ref="CN7:CN34" si="56">IF(COUNTIF($D7:$AE7,"TQ3")&gt;=1,COUNTIF($D7:$AE7,"TQ3"),"")</f>
        <v/>
      </c>
      <c r="CO7" s="130" t="str">
        <f t="shared" ref="CO7:CO34" si="57">IF(COUNTIF($D7:$AE7,"TQ4")&gt;=1,COUNTIF($D7:$AE7,"TQ4"),"")</f>
        <v/>
      </c>
      <c r="CP7" s="130" t="str">
        <f t="shared" ref="CP7:CP34" si="58">IF(COUNTIF($D7:$AE7,"TQ5")&gt;=1,COUNTIF($D7:$AE7,"TQ5"),"")</f>
        <v/>
      </c>
    </row>
    <row r="8" spans="1:94" s="90" customFormat="1" ht="15.95" customHeight="1" x14ac:dyDescent="0.3">
      <c r="A8" s="738"/>
      <c r="B8" s="93">
        <v>2</v>
      </c>
      <c r="C8" s="241" t="s">
        <v>303</v>
      </c>
      <c r="D8" s="384" t="s">
        <v>91</v>
      </c>
      <c r="E8" s="384" t="s">
        <v>77</v>
      </c>
      <c r="F8" s="384" t="s">
        <v>81</v>
      </c>
      <c r="G8" s="384" t="s">
        <v>50</v>
      </c>
      <c r="H8" s="384" t="s">
        <v>504</v>
      </c>
      <c r="I8" s="384" t="s">
        <v>96</v>
      </c>
      <c r="J8" s="384" t="s">
        <v>67</v>
      </c>
      <c r="K8" s="384" t="s">
        <v>51</v>
      </c>
      <c r="L8" s="384" t="s">
        <v>79</v>
      </c>
      <c r="M8" s="384" t="s">
        <v>13</v>
      </c>
      <c r="N8" s="384" t="s">
        <v>220</v>
      </c>
      <c r="O8" s="384" t="s">
        <v>59</v>
      </c>
      <c r="P8" s="384" t="s">
        <v>426</v>
      </c>
      <c r="Q8" s="384" t="s">
        <v>80</v>
      </c>
      <c r="R8" s="384" t="s">
        <v>73</v>
      </c>
      <c r="S8" s="384" t="s">
        <v>60</v>
      </c>
      <c r="T8" s="384" t="s">
        <v>68</v>
      </c>
      <c r="U8" s="384" t="s">
        <v>53</v>
      </c>
      <c r="V8" s="384" t="s">
        <v>190</v>
      </c>
      <c r="W8" s="384" t="s">
        <v>97</v>
      </c>
      <c r="X8" s="384" t="s">
        <v>66</v>
      </c>
      <c r="Y8" s="384" t="s">
        <v>45</v>
      </c>
      <c r="Z8" s="384" t="s">
        <v>46</v>
      </c>
      <c r="AA8" s="384" t="s">
        <v>62</v>
      </c>
      <c r="AB8" s="384" t="s">
        <v>47</v>
      </c>
      <c r="AC8" s="384" t="s">
        <v>90</v>
      </c>
      <c r="AD8" s="384" t="s">
        <v>58</v>
      </c>
      <c r="AE8" s="560" t="s">
        <v>189</v>
      </c>
      <c r="AF8" s="130">
        <f t="shared" si="0"/>
        <v>1</v>
      </c>
      <c r="AG8" s="130">
        <f t="shared" ref="AG8:AG34" si="59">IF(COUNTIF($D8:$AE8,"T3")&gt;=1,COUNTIF($D8:$AE8,"T3"),"")</f>
        <v>1</v>
      </c>
      <c r="AH8" s="130">
        <f t="shared" ref="AH8:AH34" si="60">IF(COUNTIF($D8:$AE8,"T4")&gt;=1,COUNTIF($D8:$AE8,"T4"),"")</f>
        <v>1</v>
      </c>
      <c r="AI8" s="130">
        <f t="shared" ref="AI8:AI34" si="61">IF(COUNTIF($D8:$AE8,"T5")&gt;=1,COUNTIF($D8:$AE8,"T5"),"")</f>
        <v>1</v>
      </c>
      <c r="AJ8" s="130" t="str">
        <f t="shared" ref="AJ8:AJ34" si="62">IF(COUNTIF($D8:$AE8,"TT1")&gt;=1,COUNTIF($D8:$AE8,"TT1"),"")</f>
        <v/>
      </c>
      <c r="AK8" s="130" t="str">
        <f t="shared" si="1"/>
        <v/>
      </c>
      <c r="AL8" s="130">
        <f t="shared" si="2"/>
        <v>1</v>
      </c>
      <c r="AM8" s="130">
        <f t="shared" si="3"/>
        <v>1</v>
      </c>
      <c r="AN8" s="130" t="str">
        <f t="shared" si="4"/>
        <v/>
      </c>
      <c r="AO8" s="130">
        <f t="shared" si="5"/>
        <v>1</v>
      </c>
      <c r="AP8" s="130" t="str">
        <f t="shared" si="6"/>
        <v/>
      </c>
      <c r="AQ8" s="130" t="str">
        <f t="shared" si="7"/>
        <v/>
      </c>
      <c r="AR8" s="130" t="str">
        <f t="shared" si="8"/>
        <v/>
      </c>
      <c r="AS8" s="130" t="str">
        <f t="shared" si="9"/>
        <v/>
      </c>
      <c r="AT8" s="130" t="str">
        <f t="shared" si="10"/>
        <v/>
      </c>
      <c r="AU8" s="130">
        <f t="shared" si="11"/>
        <v>1</v>
      </c>
      <c r="AV8" s="130">
        <f t="shared" si="12"/>
        <v>1</v>
      </c>
      <c r="AW8" s="130">
        <f t="shared" si="13"/>
        <v>1</v>
      </c>
      <c r="AX8" s="130" t="str">
        <f t="shared" si="14"/>
        <v/>
      </c>
      <c r="AY8" s="130">
        <f t="shared" si="15"/>
        <v>1</v>
      </c>
      <c r="AZ8" s="130" t="str">
        <f t="shared" si="16"/>
        <v/>
      </c>
      <c r="BA8" s="130" t="str">
        <f t="shared" si="17"/>
        <v/>
      </c>
      <c r="BB8" s="130">
        <f t="shared" si="18"/>
        <v>1</v>
      </c>
      <c r="BC8" s="130">
        <f t="shared" si="19"/>
        <v>1</v>
      </c>
      <c r="BD8" s="130">
        <f t="shared" si="20"/>
        <v>1</v>
      </c>
      <c r="BE8" s="130" t="str">
        <f t="shared" si="21"/>
        <v/>
      </c>
      <c r="BF8" s="130" t="str">
        <f t="shared" si="22"/>
        <v/>
      </c>
      <c r="BG8" s="130" t="str">
        <f t="shared" si="23"/>
        <v/>
      </c>
      <c r="BH8" s="130">
        <f t="shared" si="24"/>
        <v>1</v>
      </c>
      <c r="BI8" s="130" t="str">
        <f t="shared" si="25"/>
        <v/>
      </c>
      <c r="BJ8" s="130" t="str">
        <f t="shared" si="26"/>
        <v/>
      </c>
      <c r="BK8" s="130" t="str">
        <f t="shared" si="27"/>
        <v/>
      </c>
      <c r="BL8" s="130">
        <f t="shared" si="28"/>
        <v>1</v>
      </c>
      <c r="BM8" s="130" t="str">
        <f t="shared" si="29"/>
        <v/>
      </c>
      <c r="BN8" s="130">
        <f t="shared" si="30"/>
        <v>1</v>
      </c>
      <c r="BO8" s="130">
        <f t="shared" si="31"/>
        <v>1</v>
      </c>
      <c r="BP8" s="130">
        <f t="shared" si="32"/>
        <v>1</v>
      </c>
      <c r="BQ8" s="130">
        <f t="shared" si="33"/>
        <v>1</v>
      </c>
      <c r="BR8" s="130" t="str">
        <f t="shared" si="34"/>
        <v/>
      </c>
      <c r="BS8" s="130" t="str">
        <f t="shared" si="35"/>
        <v/>
      </c>
      <c r="BT8" s="130" t="str">
        <f t="shared" si="36"/>
        <v/>
      </c>
      <c r="BU8" s="130">
        <f t="shared" si="37"/>
        <v>1</v>
      </c>
      <c r="BV8" s="130" t="str">
        <f t="shared" si="38"/>
        <v/>
      </c>
      <c r="BW8" s="130" t="str">
        <f t="shared" si="39"/>
        <v/>
      </c>
      <c r="BX8" s="130" t="str">
        <f t="shared" si="40"/>
        <v/>
      </c>
      <c r="BY8" s="130">
        <f t="shared" si="41"/>
        <v>1</v>
      </c>
      <c r="BZ8" s="130">
        <f t="shared" si="42"/>
        <v>1</v>
      </c>
      <c r="CA8" s="130">
        <f t="shared" si="43"/>
        <v>1</v>
      </c>
      <c r="CB8" s="130" t="str">
        <f t="shared" si="44"/>
        <v/>
      </c>
      <c r="CC8" s="130">
        <f t="shared" si="45"/>
        <v>1</v>
      </c>
      <c r="CD8" s="130" t="str">
        <f t="shared" si="46"/>
        <v/>
      </c>
      <c r="CE8" s="130">
        <f t="shared" si="47"/>
        <v>1</v>
      </c>
      <c r="CF8" s="130" t="str">
        <f t="shared" si="48"/>
        <v/>
      </c>
      <c r="CG8" s="130" t="str">
        <f t="shared" si="49"/>
        <v/>
      </c>
      <c r="CH8" s="130">
        <f t="shared" si="50"/>
        <v>1</v>
      </c>
      <c r="CI8" s="130">
        <f t="shared" si="51"/>
        <v>1</v>
      </c>
      <c r="CJ8" s="130" t="str">
        <f t="shared" si="52"/>
        <v/>
      </c>
      <c r="CK8" s="130" t="str">
        <f t="shared" si="53"/>
        <v/>
      </c>
      <c r="CL8" s="130" t="str">
        <f t="shared" si="54"/>
        <v/>
      </c>
      <c r="CM8" s="130" t="str">
        <f t="shared" si="55"/>
        <v/>
      </c>
      <c r="CN8" s="130" t="str">
        <f t="shared" si="56"/>
        <v/>
      </c>
      <c r="CO8" s="130" t="str">
        <f t="shared" si="57"/>
        <v/>
      </c>
      <c r="CP8" s="130" t="str">
        <f t="shared" si="58"/>
        <v/>
      </c>
    </row>
    <row r="9" spans="1:94" s="90" customFormat="1" ht="15.95" customHeight="1" x14ac:dyDescent="0.3">
      <c r="A9" s="738"/>
      <c r="B9" s="93">
        <v>3</v>
      </c>
      <c r="C9" s="241" t="s">
        <v>344</v>
      </c>
      <c r="D9" s="384" t="s">
        <v>91</v>
      </c>
      <c r="E9" s="384" t="s">
        <v>86</v>
      </c>
      <c r="F9" s="384" t="s">
        <v>81</v>
      </c>
      <c r="G9" s="384" t="s">
        <v>94</v>
      </c>
      <c r="H9" s="384" t="s">
        <v>69</v>
      </c>
      <c r="I9" s="384" t="s">
        <v>504</v>
      </c>
      <c r="J9" s="384" t="s">
        <v>67</v>
      </c>
      <c r="K9" s="384" t="s">
        <v>51</v>
      </c>
      <c r="L9" s="384" t="s">
        <v>79</v>
      </c>
      <c r="M9" s="384" t="s">
        <v>13</v>
      </c>
      <c r="N9" s="384" t="s">
        <v>60</v>
      </c>
      <c r="O9" s="384" t="s">
        <v>95</v>
      </c>
      <c r="P9" s="384" t="s">
        <v>48</v>
      </c>
      <c r="Q9" s="384" t="s">
        <v>426</v>
      </c>
      <c r="R9" s="384" t="s">
        <v>76</v>
      </c>
      <c r="S9" s="384" t="s">
        <v>78</v>
      </c>
      <c r="T9" s="384" t="s">
        <v>190</v>
      </c>
      <c r="U9" s="384" t="s">
        <v>74</v>
      </c>
      <c r="V9" s="384" t="s">
        <v>85</v>
      </c>
      <c r="W9" s="384" t="s">
        <v>47</v>
      </c>
      <c r="X9" s="384" t="s">
        <v>66</v>
      </c>
      <c r="Y9" s="384" t="s">
        <v>45</v>
      </c>
      <c r="Z9" s="384" t="s">
        <v>46</v>
      </c>
      <c r="AA9" s="384" t="s">
        <v>62</v>
      </c>
      <c r="AB9" s="384" t="s">
        <v>61</v>
      </c>
      <c r="AC9" s="384" t="s">
        <v>97</v>
      </c>
      <c r="AD9" s="384" t="s">
        <v>58</v>
      </c>
      <c r="AE9" s="560" t="s">
        <v>90</v>
      </c>
      <c r="AF9" s="130">
        <f t="shared" si="0"/>
        <v>1</v>
      </c>
      <c r="AG9" s="130">
        <f t="shared" si="59"/>
        <v>1</v>
      </c>
      <c r="AH9" s="130">
        <f t="shared" si="60"/>
        <v>1</v>
      </c>
      <c r="AI9" s="130">
        <f t="shared" si="61"/>
        <v>1</v>
      </c>
      <c r="AJ9" s="130">
        <f t="shared" si="62"/>
        <v>1</v>
      </c>
      <c r="AK9" s="130" t="str">
        <f t="shared" si="1"/>
        <v/>
      </c>
      <c r="AL9" s="130" t="str">
        <f t="shared" si="2"/>
        <v/>
      </c>
      <c r="AM9" s="130">
        <f t="shared" si="3"/>
        <v>1</v>
      </c>
      <c r="AN9" s="130" t="str">
        <f t="shared" si="4"/>
        <v/>
      </c>
      <c r="AO9" s="130" t="str">
        <f t="shared" si="5"/>
        <v/>
      </c>
      <c r="AP9" s="130" t="str">
        <f t="shared" si="6"/>
        <v/>
      </c>
      <c r="AQ9" s="130" t="str">
        <f t="shared" si="7"/>
        <v/>
      </c>
      <c r="AR9" s="130" t="str">
        <f t="shared" si="8"/>
        <v/>
      </c>
      <c r="AS9" s="130" t="str">
        <f t="shared" si="9"/>
        <v/>
      </c>
      <c r="AT9" s="130" t="str">
        <f t="shared" si="10"/>
        <v/>
      </c>
      <c r="AU9" s="130">
        <f t="shared" si="11"/>
        <v>1</v>
      </c>
      <c r="AV9" s="130" t="str">
        <f t="shared" si="12"/>
        <v/>
      </c>
      <c r="AW9" s="130">
        <f t="shared" si="13"/>
        <v>1</v>
      </c>
      <c r="AX9" s="130">
        <f t="shared" si="14"/>
        <v>1</v>
      </c>
      <c r="AY9" s="130">
        <f t="shared" si="15"/>
        <v>1</v>
      </c>
      <c r="AZ9" s="130" t="str">
        <f t="shared" si="16"/>
        <v/>
      </c>
      <c r="BA9" s="130" t="str">
        <f t="shared" si="17"/>
        <v/>
      </c>
      <c r="BB9" s="130">
        <f t="shared" si="18"/>
        <v>1</v>
      </c>
      <c r="BC9" s="130">
        <f t="shared" si="19"/>
        <v>1</v>
      </c>
      <c r="BD9" s="130" t="str">
        <f t="shared" si="20"/>
        <v/>
      </c>
      <c r="BE9" s="130">
        <f t="shared" si="21"/>
        <v>1</v>
      </c>
      <c r="BF9" s="130" t="str">
        <f t="shared" si="22"/>
        <v/>
      </c>
      <c r="BG9" s="130" t="str">
        <f t="shared" si="23"/>
        <v/>
      </c>
      <c r="BH9" s="130" t="str">
        <f t="shared" si="24"/>
        <v/>
      </c>
      <c r="BI9" s="130">
        <f t="shared" si="25"/>
        <v>1</v>
      </c>
      <c r="BJ9" s="130" t="str">
        <f t="shared" si="26"/>
        <v/>
      </c>
      <c r="BK9" s="130">
        <f t="shared" si="27"/>
        <v>1</v>
      </c>
      <c r="BL9" s="130" t="str">
        <f t="shared" si="28"/>
        <v/>
      </c>
      <c r="BM9" s="130">
        <f t="shared" si="29"/>
        <v>1</v>
      </c>
      <c r="BN9" s="130">
        <f t="shared" si="30"/>
        <v>1</v>
      </c>
      <c r="BO9" s="130" t="str">
        <f t="shared" si="31"/>
        <v/>
      </c>
      <c r="BP9" s="130">
        <f t="shared" si="32"/>
        <v>1</v>
      </c>
      <c r="BQ9" s="130" t="str">
        <f t="shared" si="33"/>
        <v/>
      </c>
      <c r="BR9" s="130" t="str">
        <f t="shared" si="34"/>
        <v/>
      </c>
      <c r="BS9" s="130" t="str">
        <f t="shared" si="35"/>
        <v/>
      </c>
      <c r="BT9" s="130" t="str">
        <f t="shared" si="36"/>
        <v/>
      </c>
      <c r="BU9" s="130">
        <f t="shared" si="37"/>
        <v>1</v>
      </c>
      <c r="BV9" s="130" t="str">
        <f t="shared" si="38"/>
        <v/>
      </c>
      <c r="BW9" s="130">
        <f t="shared" si="39"/>
        <v>1</v>
      </c>
      <c r="BX9" s="130">
        <f t="shared" si="40"/>
        <v>1</v>
      </c>
      <c r="BY9" s="130">
        <f t="shared" si="41"/>
        <v>1</v>
      </c>
      <c r="BZ9" s="130">
        <f t="shared" si="42"/>
        <v>1</v>
      </c>
      <c r="CA9" s="130">
        <f t="shared" si="43"/>
        <v>1</v>
      </c>
      <c r="CB9" s="130" t="str">
        <f t="shared" si="44"/>
        <v/>
      </c>
      <c r="CC9" s="130" t="str">
        <f t="shared" si="45"/>
        <v/>
      </c>
      <c r="CD9" s="130" t="str">
        <f t="shared" si="46"/>
        <v/>
      </c>
      <c r="CE9" s="130">
        <f t="shared" si="47"/>
        <v>1</v>
      </c>
      <c r="CF9" s="130">
        <f t="shared" si="48"/>
        <v>1</v>
      </c>
      <c r="CG9" s="130">
        <f t="shared" si="49"/>
        <v>1</v>
      </c>
      <c r="CH9" s="130" t="str">
        <f t="shared" si="50"/>
        <v/>
      </c>
      <c r="CI9" s="130">
        <f t="shared" si="51"/>
        <v>1</v>
      </c>
      <c r="CJ9" s="130" t="str">
        <f t="shared" si="52"/>
        <v/>
      </c>
      <c r="CK9" s="130" t="str">
        <f t="shared" si="53"/>
        <v/>
      </c>
      <c r="CL9" s="130" t="str">
        <f t="shared" si="54"/>
        <v/>
      </c>
      <c r="CM9" s="130" t="str">
        <f t="shared" si="55"/>
        <v/>
      </c>
      <c r="CN9" s="130" t="str">
        <f t="shared" si="56"/>
        <v/>
      </c>
      <c r="CO9" s="130" t="str">
        <f t="shared" si="57"/>
        <v/>
      </c>
      <c r="CP9" s="130" t="str">
        <f t="shared" si="58"/>
        <v/>
      </c>
    </row>
    <row r="10" spans="1:94" s="90" customFormat="1" ht="15.95" customHeight="1" x14ac:dyDescent="0.3">
      <c r="A10" s="738"/>
      <c r="B10" s="93">
        <v>4</v>
      </c>
      <c r="C10" s="241" t="s">
        <v>345</v>
      </c>
      <c r="D10" s="384" t="s">
        <v>67</v>
      </c>
      <c r="E10" s="384" t="s">
        <v>59</v>
      </c>
      <c r="F10" s="384" t="s">
        <v>86</v>
      </c>
      <c r="G10" s="384" t="s">
        <v>504</v>
      </c>
      <c r="H10" s="384" t="s">
        <v>81</v>
      </c>
      <c r="I10" s="384" t="s">
        <v>72</v>
      </c>
      <c r="J10" s="384" t="s">
        <v>96</v>
      </c>
      <c r="K10" s="384" t="s">
        <v>70</v>
      </c>
      <c r="L10" s="384" t="s">
        <v>92</v>
      </c>
      <c r="M10" s="384" t="s">
        <v>220</v>
      </c>
      <c r="N10" s="384" t="s">
        <v>78</v>
      </c>
      <c r="O10" s="384" t="s">
        <v>13</v>
      </c>
      <c r="P10" s="384" t="s">
        <v>79</v>
      </c>
      <c r="Q10" s="384" t="s">
        <v>190</v>
      </c>
      <c r="R10" s="384" t="s">
        <v>69</v>
      </c>
      <c r="S10" s="384" t="s">
        <v>60</v>
      </c>
      <c r="T10" s="384" t="s">
        <v>80</v>
      </c>
      <c r="U10" s="384" t="s">
        <v>97</v>
      </c>
      <c r="V10" s="384" t="s">
        <v>77</v>
      </c>
      <c r="W10" s="384" t="s">
        <v>47</v>
      </c>
      <c r="X10" s="384" t="s">
        <v>74</v>
      </c>
      <c r="Y10" s="384" t="s">
        <v>62</v>
      </c>
      <c r="Z10" s="384" t="s">
        <v>58</v>
      </c>
      <c r="AA10" s="384" t="s">
        <v>45</v>
      </c>
      <c r="AB10" s="384" t="s">
        <v>76</v>
      </c>
      <c r="AC10" s="384" t="s">
        <v>189</v>
      </c>
      <c r="AD10" s="384" t="s">
        <v>55</v>
      </c>
      <c r="AE10" s="560" t="s">
        <v>46</v>
      </c>
      <c r="AF10" s="130">
        <f t="shared" si="0"/>
        <v>1</v>
      </c>
      <c r="AG10" s="130">
        <f t="shared" si="59"/>
        <v>1</v>
      </c>
      <c r="AH10" s="130">
        <f t="shared" si="60"/>
        <v>1</v>
      </c>
      <c r="AI10" s="130">
        <f t="shared" si="61"/>
        <v>1</v>
      </c>
      <c r="AJ10" s="130" t="str">
        <f t="shared" si="62"/>
        <v/>
      </c>
      <c r="AK10" s="130" t="str">
        <f t="shared" si="1"/>
        <v/>
      </c>
      <c r="AL10" s="130" t="str">
        <f t="shared" si="2"/>
        <v/>
      </c>
      <c r="AM10" s="130" t="str">
        <f t="shared" si="3"/>
        <v/>
      </c>
      <c r="AN10" s="130" t="str">
        <f t="shared" si="4"/>
        <v/>
      </c>
      <c r="AO10" s="130" t="str">
        <f t="shared" si="5"/>
        <v/>
      </c>
      <c r="AP10" s="130" t="str">
        <f t="shared" si="6"/>
        <v/>
      </c>
      <c r="AQ10" s="130">
        <f t="shared" si="7"/>
        <v>1</v>
      </c>
      <c r="AR10" s="130" t="str">
        <f t="shared" si="8"/>
        <v/>
      </c>
      <c r="AS10" s="130" t="str">
        <f t="shared" si="9"/>
        <v/>
      </c>
      <c r="AT10" s="130" t="str">
        <f t="shared" si="10"/>
        <v/>
      </c>
      <c r="AU10" s="130">
        <f t="shared" si="11"/>
        <v>1</v>
      </c>
      <c r="AV10" s="130">
        <f t="shared" si="12"/>
        <v>1</v>
      </c>
      <c r="AW10" s="130">
        <f t="shared" si="13"/>
        <v>1</v>
      </c>
      <c r="AX10" s="130" t="str">
        <f t="shared" si="14"/>
        <v/>
      </c>
      <c r="AY10" s="130">
        <f t="shared" si="15"/>
        <v>1</v>
      </c>
      <c r="AZ10" s="130" t="str">
        <f t="shared" si="16"/>
        <v/>
      </c>
      <c r="BA10" s="130" t="str">
        <f t="shared" si="17"/>
        <v/>
      </c>
      <c r="BB10" s="130" t="str">
        <f t="shared" si="18"/>
        <v/>
      </c>
      <c r="BC10" s="130">
        <f t="shared" si="19"/>
        <v>1</v>
      </c>
      <c r="BD10" s="130" t="str">
        <f t="shared" si="20"/>
        <v/>
      </c>
      <c r="BE10" s="130">
        <f t="shared" si="21"/>
        <v>1</v>
      </c>
      <c r="BF10" s="130">
        <f t="shared" si="22"/>
        <v>1</v>
      </c>
      <c r="BG10" s="130">
        <f t="shared" si="23"/>
        <v>1</v>
      </c>
      <c r="BH10" s="130" t="str">
        <f t="shared" si="24"/>
        <v/>
      </c>
      <c r="BI10" s="130">
        <f t="shared" si="25"/>
        <v>1</v>
      </c>
      <c r="BJ10" s="130" t="str">
        <f t="shared" si="26"/>
        <v/>
      </c>
      <c r="BK10" s="130">
        <f t="shared" si="27"/>
        <v>1</v>
      </c>
      <c r="BL10" s="130">
        <f t="shared" si="28"/>
        <v>1</v>
      </c>
      <c r="BM10" s="130">
        <f t="shared" si="29"/>
        <v>1</v>
      </c>
      <c r="BN10" s="130">
        <f t="shared" si="30"/>
        <v>1</v>
      </c>
      <c r="BO10" s="130">
        <f t="shared" si="31"/>
        <v>1</v>
      </c>
      <c r="BP10" s="130">
        <f t="shared" si="32"/>
        <v>1</v>
      </c>
      <c r="BQ10" s="130">
        <f t="shared" si="33"/>
        <v>1</v>
      </c>
      <c r="BR10" s="130" t="str">
        <f t="shared" si="34"/>
        <v/>
      </c>
      <c r="BS10" s="130" t="str">
        <f t="shared" si="35"/>
        <v/>
      </c>
      <c r="BT10" s="130" t="str">
        <f t="shared" si="36"/>
        <v/>
      </c>
      <c r="BU10" s="130" t="str">
        <f t="shared" si="37"/>
        <v/>
      </c>
      <c r="BV10" s="130" t="str">
        <f t="shared" si="38"/>
        <v/>
      </c>
      <c r="BW10" s="130" t="str">
        <f t="shared" si="39"/>
        <v/>
      </c>
      <c r="BX10" s="130">
        <f t="shared" si="40"/>
        <v>1</v>
      </c>
      <c r="BY10" s="130">
        <f t="shared" si="41"/>
        <v>1</v>
      </c>
      <c r="BZ10" s="130" t="str">
        <f t="shared" si="42"/>
        <v/>
      </c>
      <c r="CA10" s="130" t="str">
        <f t="shared" si="43"/>
        <v/>
      </c>
      <c r="CB10" s="130">
        <f t="shared" si="44"/>
        <v>1</v>
      </c>
      <c r="CC10" s="130">
        <f t="shared" si="45"/>
        <v>1</v>
      </c>
      <c r="CD10" s="130" t="str">
        <f t="shared" si="46"/>
        <v/>
      </c>
      <c r="CE10" s="130">
        <f t="shared" si="47"/>
        <v>1</v>
      </c>
      <c r="CF10" s="130" t="str">
        <f t="shared" si="48"/>
        <v/>
      </c>
      <c r="CG10" s="130" t="str">
        <f t="shared" si="49"/>
        <v/>
      </c>
      <c r="CH10" s="130">
        <f t="shared" si="50"/>
        <v>1</v>
      </c>
      <c r="CI10" s="130">
        <f t="shared" si="51"/>
        <v>1</v>
      </c>
      <c r="CJ10" s="130" t="str">
        <f t="shared" si="52"/>
        <v/>
      </c>
      <c r="CK10" s="130" t="str">
        <f t="shared" si="53"/>
        <v/>
      </c>
      <c r="CL10" s="130" t="str">
        <f t="shared" si="54"/>
        <v/>
      </c>
      <c r="CM10" s="130" t="str">
        <f t="shared" si="55"/>
        <v/>
      </c>
      <c r="CN10" s="130" t="str">
        <f t="shared" si="56"/>
        <v/>
      </c>
      <c r="CO10" s="130" t="str">
        <f t="shared" si="57"/>
        <v/>
      </c>
      <c r="CP10" s="130" t="str">
        <f t="shared" si="58"/>
        <v/>
      </c>
    </row>
    <row r="11" spans="1:94" s="90" customFormat="1" ht="15.95" customHeight="1" x14ac:dyDescent="0.3">
      <c r="A11" s="739"/>
      <c r="B11" s="94">
        <v>5</v>
      </c>
      <c r="C11" s="242" t="s">
        <v>346</v>
      </c>
      <c r="D11" s="385" t="s">
        <v>72</v>
      </c>
      <c r="E11" s="385" t="s">
        <v>92</v>
      </c>
      <c r="F11" s="385" t="s">
        <v>81</v>
      </c>
      <c r="G11" s="385" t="s">
        <v>59</v>
      </c>
      <c r="H11" s="385" t="s">
        <v>94</v>
      </c>
      <c r="I11" s="385" t="s">
        <v>48</v>
      </c>
      <c r="J11" s="385" t="s">
        <v>78</v>
      </c>
      <c r="K11" s="385" t="s">
        <v>86</v>
      </c>
      <c r="L11" s="385" t="s">
        <v>426</v>
      </c>
      <c r="M11" s="385" t="s">
        <v>220</v>
      </c>
      <c r="N11" s="385" t="s">
        <v>47</v>
      </c>
      <c r="O11" s="385" t="s">
        <v>13</v>
      </c>
      <c r="P11" s="385" t="s">
        <v>67</v>
      </c>
      <c r="Q11" s="385" t="s">
        <v>60</v>
      </c>
      <c r="R11" s="385" t="s">
        <v>97</v>
      </c>
      <c r="S11" s="385" t="s">
        <v>46</v>
      </c>
      <c r="T11" s="385" t="s">
        <v>80</v>
      </c>
      <c r="U11" s="385" t="s">
        <v>76</v>
      </c>
      <c r="V11" s="385" t="s">
        <v>77</v>
      </c>
      <c r="W11" s="385" t="s">
        <v>58</v>
      </c>
      <c r="X11" s="385" t="s">
        <v>74</v>
      </c>
      <c r="Y11" s="385" t="s">
        <v>96</v>
      </c>
      <c r="Z11" s="385" t="s">
        <v>69</v>
      </c>
      <c r="AA11" s="385" t="s">
        <v>62</v>
      </c>
      <c r="AB11" s="385" t="s">
        <v>91</v>
      </c>
      <c r="AC11" s="385" t="s">
        <v>189</v>
      </c>
      <c r="AD11" s="385" t="s">
        <v>55</v>
      </c>
      <c r="AE11" s="561" t="s">
        <v>190</v>
      </c>
      <c r="AF11" s="130">
        <f t="shared" si="0"/>
        <v>1</v>
      </c>
      <c r="AG11" s="130" t="str">
        <f t="shared" si="59"/>
        <v/>
      </c>
      <c r="AH11" s="130">
        <f t="shared" si="60"/>
        <v>1</v>
      </c>
      <c r="AI11" s="130">
        <f t="shared" si="61"/>
        <v>1</v>
      </c>
      <c r="AJ11" s="130">
        <f t="shared" si="62"/>
        <v>1</v>
      </c>
      <c r="AK11" s="130" t="str">
        <f t="shared" si="1"/>
        <v/>
      </c>
      <c r="AL11" s="130" t="str">
        <f t="shared" si="2"/>
        <v/>
      </c>
      <c r="AM11" s="130" t="str">
        <f t="shared" si="3"/>
        <v/>
      </c>
      <c r="AN11" s="130" t="str">
        <f t="shared" si="4"/>
        <v/>
      </c>
      <c r="AO11" s="130" t="str">
        <f t="shared" si="5"/>
        <v/>
      </c>
      <c r="AP11" s="130" t="str">
        <f t="shared" si="6"/>
        <v/>
      </c>
      <c r="AQ11" s="130">
        <f t="shared" si="7"/>
        <v>1</v>
      </c>
      <c r="AR11" s="130" t="str">
        <f t="shared" si="8"/>
        <v/>
      </c>
      <c r="AS11" s="130" t="str">
        <f t="shared" si="9"/>
        <v/>
      </c>
      <c r="AT11" s="130" t="str">
        <f t="shared" si="10"/>
        <v/>
      </c>
      <c r="AU11" s="130">
        <f t="shared" si="11"/>
        <v>1</v>
      </c>
      <c r="AV11" s="130">
        <f t="shared" si="12"/>
        <v>1</v>
      </c>
      <c r="AW11" s="130">
        <f t="shared" si="13"/>
        <v>1</v>
      </c>
      <c r="AX11" s="130" t="str">
        <f t="shared" si="14"/>
        <v/>
      </c>
      <c r="AY11" s="130">
        <f t="shared" si="15"/>
        <v>1</v>
      </c>
      <c r="AZ11" s="130" t="str">
        <f t="shared" si="16"/>
        <v/>
      </c>
      <c r="BA11" s="130" t="str">
        <f t="shared" si="17"/>
        <v/>
      </c>
      <c r="BB11" s="130" t="str">
        <f t="shared" si="18"/>
        <v/>
      </c>
      <c r="BC11" s="130">
        <f t="shared" si="19"/>
        <v>1</v>
      </c>
      <c r="BD11" s="130" t="str">
        <f t="shared" si="20"/>
        <v/>
      </c>
      <c r="BE11" s="130">
        <f t="shared" si="21"/>
        <v>1</v>
      </c>
      <c r="BF11" s="130" t="str">
        <f t="shared" si="22"/>
        <v/>
      </c>
      <c r="BG11" s="130">
        <f t="shared" si="23"/>
        <v>1</v>
      </c>
      <c r="BH11" s="130" t="str">
        <f t="shared" si="24"/>
        <v/>
      </c>
      <c r="BI11" s="130">
        <f t="shared" si="25"/>
        <v>1</v>
      </c>
      <c r="BJ11" s="130" t="str">
        <f t="shared" si="26"/>
        <v/>
      </c>
      <c r="BK11" s="130">
        <f t="shared" si="27"/>
        <v>1</v>
      </c>
      <c r="BL11" s="130">
        <f t="shared" si="28"/>
        <v>1</v>
      </c>
      <c r="BM11" s="130">
        <f t="shared" si="29"/>
        <v>1</v>
      </c>
      <c r="BN11" s="130" t="str">
        <f t="shared" si="30"/>
        <v/>
      </c>
      <c r="BO11" s="130">
        <f t="shared" si="31"/>
        <v>1</v>
      </c>
      <c r="BP11" s="130">
        <f t="shared" si="32"/>
        <v>1</v>
      </c>
      <c r="BQ11" s="130">
        <f t="shared" si="33"/>
        <v>1</v>
      </c>
      <c r="BR11" s="130" t="str">
        <f t="shared" si="34"/>
        <v/>
      </c>
      <c r="BS11" s="130" t="str">
        <f t="shared" si="35"/>
        <v/>
      </c>
      <c r="BT11" s="130" t="str">
        <f t="shared" si="36"/>
        <v/>
      </c>
      <c r="BU11" s="130">
        <f t="shared" si="37"/>
        <v>1</v>
      </c>
      <c r="BV11" s="130" t="str">
        <f t="shared" si="38"/>
        <v/>
      </c>
      <c r="BW11" s="130" t="str">
        <f t="shared" si="39"/>
        <v/>
      </c>
      <c r="BX11" s="130">
        <f t="shared" si="40"/>
        <v>1</v>
      </c>
      <c r="BY11" s="130" t="str">
        <f t="shared" si="41"/>
        <v/>
      </c>
      <c r="BZ11" s="130" t="str">
        <f t="shared" si="42"/>
        <v/>
      </c>
      <c r="CA11" s="130">
        <f t="shared" si="43"/>
        <v>1</v>
      </c>
      <c r="CB11" s="130">
        <f t="shared" si="44"/>
        <v>1</v>
      </c>
      <c r="CC11" s="130">
        <f t="shared" si="45"/>
        <v>1</v>
      </c>
      <c r="CD11" s="130" t="str">
        <f t="shared" si="46"/>
        <v/>
      </c>
      <c r="CE11" s="130">
        <f t="shared" si="47"/>
        <v>1</v>
      </c>
      <c r="CF11" s="130">
        <f t="shared" si="48"/>
        <v>1</v>
      </c>
      <c r="CG11" s="130" t="str">
        <f t="shared" si="49"/>
        <v/>
      </c>
      <c r="CH11" s="130">
        <f t="shared" si="50"/>
        <v>1</v>
      </c>
      <c r="CI11" s="130">
        <f t="shared" si="51"/>
        <v>1</v>
      </c>
      <c r="CJ11" s="130" t="str">
        <f t="shared" si="52"/>
        <v/>
      </c>
      <c r="CK11" s="130" t="str">
        <f t="shared" si="53"/>
        <v/>
      </c>
      <c r="CL11" s="130" t="str">
        <f t="shared" si="54"/>
        <v/>
      </c>
      <c r="CM11" s="130" t="str">
        <f t="shared" si="55"/>
        <v/>
      </c>
      <c r="CN11" s="130" t="str">
        <f t="shared" si="56"/>
        <v/>
      </c>
      <c r="CO11" s="130" t="str">
        <f t="shared" si="57"/>
        <v/>
      </c>
      <c r="CP11" s="130" t="str">
        <f t="shared" si="58"/>
        <v/>
      </c>
    </row>
    <row r="12" spans="1:94" s="95" customFormat="1" ht="15.95" customHeight="1" x14ac:dyDescent="0.3">
      <c r="A12" s="740">
        <v>3</v>
      </c>
      <c r="B12" s="324">
        <v>1</v>
      </c>
      <c r="C12" s="321" t="s">
        <v>301</v>
      </c>
      <c r="D12" s="540" t="s">
        <v>86</v>
      </c>
      <c r="E12" s="540" t="s">
        <v>59</v>
      </c>
      <c r="F12" s="540" t="s">
        <v>88</v>
      </c>
      <c r="G12" s="540" t="s">
        <v>50</v>
      </c>
      <c r="H12" s="540" t="s">
        <v>94</v>
      </c>
      <c r="I12" s="540" t="s">
        <v>79</v>
      </c>
      <c r="J12" s="540" t="s">
        <v>78</v>
      </c>
      <c r="K12" s="540" t="s">
        <v>96</v>
      </c>
      <c r="L12" s="540" t="s">
        <v>93</v>
      </c>
      <c r="M12" s="540" t="s">
        <v>13</v>
      </c>
      <c r="N12" s="540" t="s">
        <v>504</v>
      </c>
      <c r="O12" s="540" t="s">
        <v>92</v>
      </c>
      <c r="P12" s="540" t="s">
        <v>48</v>
      </c>
      <c r="Q12" s="540" t="s">
        <v>426</v>
      </c>
      <c r="R12" s="540" t="s">
        <v>63</v>
      </c>
      <c r="S12" s="540" t="s">
        <v>64</v>
      </c>
      <c r="T12" s="540" t="s">
        <v>53</v>
      </c>
      <c r="U12" s="540" t="s">
        <v>74</v>
      </c>
      <c r="V12" s="540" t="s">
        <v>73</v>
      </c>
      <c r="W12" s="540" t="s">
        <v>58</v>
      </c>
      <c r="X12" s="540" t="s">
        <v>55</v>
      </c>
      <c r="Y12" s="540" t="s">
        <v>77</v>
      </c>
      <c r="Z12" s="540" t="s">
        <v>76</v>
      </c>
      <c r="AA12" s="540" t="s">
        <v>80</v>
      </c>
      <c r="AB12" s="540" t="s">
        <v>236</v>
      </c>
      <c r="AC12" s="540" t="s">
        <v>49</v>
      </c>
      <c r="AD12" s="540" t="s">
        <v>83</v>
      </c>
      <c r="AE12" s="562" t="s">
        <v>85</v>
      </c>
      <c r="AF12" s="131">
        <f t="shared" si="0"/>
        <v>1</v>
      </c>
      <c r="AG12" s="131" t="str">
        <f t="shared" si="59"/>
        <v/>
      </c>
      <c r="AH12" s="131" t="str">
        <f t="shared" si="60"/>
        <v/>
      </c>
      <c r="AI12" s="131" t="str">
        <f t="shared" si="61"/>
        <v/>
      </c>
      <c r="AJ12" s="131">
        <f t="shared" si="62"/>
        <v>1</v>
      </c>
      <c r="AK12" s="131">
        <f t="shared" si="1"/>
        <v>1</v>
      </c>
      <c r="AL12" s="131">
        <f t="shared" si="2"/>
        <v>1</v>
      </c>
      <c r="AM12" s="131" t="str">
        <f t="shared" si="3"/>
        <v/>
      </c>
      <c r="AN12" s="131" t="str">
        <f t="shared" si="4"/>
        <v/>
      </c>
      <c r="AO12" s="131">
        <f t="shared" si="5"/>
        <v>1</v>
      </c>
      <c r="AP12" s="131" t="str">
        <f t="shared" si="6"/>
        <v/>
      </c>
      <c r="AQ12" s="131">
        <f t="shared" si="7"/>
        <v>1</v>
      </c>
      <c r="AR12" s="131" t="str">
        <f t="shared" si="8"/>
        <v/>
      </c>
      <c r="AS12" s="131">
        <f t="shared" si="9"/>
        <v>1</v>
      </c>
      <c r="AT12" s="131" t="str">
        <f t="shared" si="10"/>
        <v/>
      </c>
      <c r="AU12" s="131">
        <f t="shared" si="11"/>
        <v>1</v>
      </c>
      <c r="AV12" s="131">
        <f t="shared" si="12"/>
        <v>1</v>
      </c>
      <c r="AW12" s="131" t="str">
        <f t="shared" si="13"/>
        <v/>
      </c>
      <c r="AX12" s="131" t="str">
        <f t="shared" si="14"/>
        <v/>
      </c>
      <c r="AY12" s="131" t="str">
        <f t="shared" si="15"/>
        <v/>
      </c>
      <c r="AZ12" s="131">
        <f t="shared" si="16"/>
        <v>1</v>
      </c>
      <c r="BA12" s="131">
        <f t="shared" si="17"/>
        <v>1</v>
      </c>
      <c r="BB12" s="131" t="str">
        <f t="shared" si="18"/>
        <v/>
      </c>
      <c r="BC12" s="131" t="str">
        <f t="shared" si="19"/>
        <v/>
      </c>
      <c r="BD12" s="131" t="str">
        <f t="shared" si="20"/>
        <v/>
      </c>
      <c r="BE12" s="131" t="str">
        <f t="shared" si="21"/>
        <v/>
      </c>
      <c r="BF12" s="131" t="str">
        <f t="shared" si="22"/>
        <v/>
      </c>
      <c r="BG12" s="131" t="str">
        <f t="shared" si="23"/>
        <v/>
      </c>
      <c r="BH12" s="131">
        <f t="shared" si="24"/>
        <v>1</v>
      </c>
      <c r="BI12" s="131">
        <f t="shared" si="25"/>
        <v>1</v>
      </c>
      <c r="BJ12" s="131" t="str">
        <f t="shared" si="26"/>
        <v/>
      </c>
      <c r="BK12" s="131">
        <f t="shared" si="27"/>
        <v>1</v>
      </c>
      <c r="BL12" s="131">
        <f t="shared" si="28"/>
        <v>1</v>
      </c>
      <c r="BM12" s="131">
        <f t="shared" si="29"/>
        <v>1</v>
      </c>
      <c r="BN12" s="131">
        <f t="shared" si="30"/>
        <v>1</v>
      </c>
      <c r="BO12" s="131">
        <f t="shared" si="31"/>
        <v>1</v>
      </c>
      <c r="BP12" s="131" t="str">
        <f t="shared" si="32"/>
        <v/>
      </c>
      <c r="BQ12" s="131" t="str">
        <f t="shared" si="33"/>
        <v/>
      </c>
      <c r="BR12" s="131" t="str">
        <f t="shared" si="34"/>
        <v/>
      </c>
      <c r="BS12" s="131" t="str">
        <f t="shared" si="35"/>
        <v/>
      </c>
      <c r="BT12" s="131">
        <f t="shared" si="36"/>
        <v>1</v>
      </c>
      <c r="BU12" s="131">
        <f t="shared" si="37"/>
        <v>1</v>
      </c>
      <c r="BV12" s="131">
        <f t="shared" si="38"/>
        <v>1</v>
      </c>
      <c r="BW12" s="131">
        <f t="shared" si="39"/>
        <v>1</v>
      </c>
      <c r="BX12" s="131">
        <f t="shared" si="40"/>
        <v>1</v>
      </c>
      <c r="BY12" s="131">
        <f t="shared" si="41"/>
        <v>1</v>
      </c>
      <c r="BZ12" s="131" t="str">
        <f t="shared" si="42"/>
        <v/>
      </c>
      <c r="CA12" s="131" t="str">
        <f t="shared" si="43"/>
        <v/>
      </c>
      <c r="CB12" s="131">
        <f t="shared" si="44"/>
        <v>1</v>
      </c>
      <c r="CC12" s="131" t="str">
        <f t="shared" si="45"/>
        <v/>
      </c>
      <c r="CD12" s="131">
        <f t="shared" si="46"/>
        <v>1</v>
      </c>
      <c r="CE12" s="131" t="str">
        <f t="shared" si="47"/>
        <v/>
      </c>
      <c r="CF12" s="131">
        <f t="shared" si="48"/>
        <v>1</v>
      </c>
      <c r="CG12" s="131" t="str">
        <f t="shared" si="49"/>
        <v/>
      </c>
      <c r="CH12" s="131">
        <f t="shared" si="50"/>
        <v>1</v>
      </c>
      <c r="CI12" s="131" t="str">
        <f t="shared" si="51"/>
        <v/>
      </c>
      <c r="CJ12" s="131" t="str">
        <f t="shared" si="52"/>
        <v/>
      </c>
      <c r="CK12" s="131" t="str">
        <f t="shared" si="53"/>
        <v/>
      </c>
      <c r="CL12" s="131" t="str">
        <f t="shared" si="54"/>
        <v/>
      </c>
      <c r="CM12" s="131" t="str">
        <f t="shared" si="55"/>
        <v/>
      </c>
      <c r="CN12" s="131" t="str">
        <f t="shared" si="56"/>
        <v/>
      </c>
      <c r="CO12" s="131" t="str">
        <f t="shared" si="57"/>
        <v/>
      </c>
      <c r="CP12" s="131" t="str">
        <f t="shared" si="58"/>
        <v/>
      </c>
    </row>
    <row r="13" spans="1:94" s="95" customFormat="1" ht="15.95" customHeight="1" x14ac:dyDescent="0.3">
      <c r="A13" s="741"/>
      <c r="B13" s="325">
        <v>2</v>
      </c>
      <c r="C13" s="322" t="s">
        <v>303</v>
      </c>
      <c r="D13" s="541" t="s">
        <v>91</v>
      </c>
      <c r="E13" s="541" t="s">
        <v>88</v>
      </c>
      <c r="F13" s="541" t="s">
        <v>92</v>
      </c>
      <c r="G13" s="541" t="s">
        <v>50</v>
      </c>
      <c r="H13" s="541" t="s">
        <v>54</v>
      </c>
      <c r="I13" s="541" t="s">
        <v>48</v>
      </c>
      <c r="J13" s="541" t="s">
        <v>78</v>
      </c>
      <c r="K13" s="541" t="s">
        <v>64</v>
      </c>
      <c r="L13" s="541" t="s">
        <v>79</v>
      </c>
      <c r="M13" s="541" t="s">
        <v>85</v>
      </c>
      <c r="N13" s="541" t="s">
        <v>95</v>
      </c>
      <c r="O13" s="541" t="s">
        <v>13</v>
      </c>
      <c r="P13" s="541" t="s">
        <v>94</v>
      </c>
      <c r="Q13" s="541" t="s">
        <v>80</v>
      </c>
      <c r="R13" s="541" t="s">
        <v>504</v>
      </c>
      <c r="S13" s="541" t="s">
        <v>55</v>
      </c>
      <c r="T13" s="541" t="s">
        <v>53</v>
      </c>
      <c r="U13" s="541" t="s">
        <v>74</v>
      </c>
      <c r="V13" s="541" t="s">
        <v>73</v>
      </c>
      <c r="W13" s="541" t="s">
        <v>72</v>
      </c>
      <c r="X13" s="541" t="s">
        <v>86</v>
      </c>
      <c r="Y13" s="541" t="s">
        <v>77</v>
      </c>
      <c r="Z13" s="541" t="s">
        <v>96</v>
      </c>
      <c r="AA13" s="541" t="s">
        <v>236</v>
      </c>
      <c r="AB13" s="541" t="s">
        <v>93</v>
      </c>
      <c r="AC13" s="541" t="s">
        <v>49</v>
      </c>
      <c r="AD13" s="541" t="s">
        <v>58</v>
      </c>
      <c r="AE13" s="563" t="s">
        <v>62</v>
      </c>
      <c r="AF13" s="131">
        <f t="shared" ref="AF13:AF34" si="63">IF(COUNTIF($D13:$AE13,"T2")&gt;=1,COUNTIF($D13:$AE13,"T2"),"")</f>
        <v>1</v>
      </c>
      <c r="AG13" s="131" t="str">
        <f t="shared" si="59"/>
        <v/>
      </c>
      <c r="AH13" s="131" t="str">
        <f t="shared" si="60"/>
        <v/>
      </c>
      <c r="AI13" s="131" t="str">
        <f t="shared" si="61"/>
        <v/>
      </c>
      <c r="AJ13" s="131">
        <f t="shared" si="62"/>
        <v>1</v>
      </c>
      <c r="AK13" s="131">
        <f t="shared" si="1"/>
        <v>1</v>
      </c>
      <c r="AL13" s="131">
        <f t="shared" si="2"/>
        <v>1</v>
      </c>
      <c r="AM13" s="131" t="str">
        <f t="shared" si="3"/>
        <v/>
      </c>
      <c r="AN13" s="131" t="str">
        <f t="shared" si="4"/>
        <v/>
      </c>
      <c r="AO13" s="131">
        <f t="shared" si="5"/>
        <v>1</v>
      </c>
      <c r="AP13" s="131">
        <f t="shared" si="6"/>
        <v>1</v>
      </c>
      <c r="AQ13" s="131">
        <f t="shared" si="7"/>
        <v>1</v>
      </c>
      <c r="AR13" s="131" t="str">
        <f t="shared" si="8"/>
        <v/>
      </c>
      <c r="AS13" s="131">
        <f t="shared" si="9"/>
        <v>1</v>
      </c>
      <c r="AT13" s="131" t="str">
        <f t="shared" si="10"/>
        <v/>
      </c>
      <c r="AU13" s="131">
        <f t="shared" si="11"/>
        <v>1</v>
      </c>
      <c r="AV13" s="131" t="str">
        <f t="shared" si="12"/>
        <v/>
      </c>
      <c r="AW13" s="131" t="str">
        <f t="shared" si="13"/>
        <v/>
      </c>
      <c r="AX13" s="131" t="str">
        <f t="shared" si="14"/>
        <v/>
      </c>
      <c r="AY13" s="131">
        <f t="shared" si="15"/>
        <v>1</v>
      </c>
      <c r="AZ13" s="131" t="str">
        <f t="shared" si="16"/>
        <v/>
      </c>
      <c r="BA13" s="131">
        <f t="shared" si="17"/>
        <v>1</v>
      </c>
      <c r="BB13" s="131" t="str">
        <f t="shared" si="18"/>
        <v/>
      </c>
      <c r="BC13" s="131" t="str">
        <f t="shared" si="19"/>
        <v/>
      </c>
      <c r="BD13" s="131" t="str">
        <f t="shared" si="20"/>
        <v/>
      </c>
      <c r="BE13" s="131" t="str">
        <f t="shared" si="21"/>
        <v/>
      </c>
      <c r="BF13" s="131" t="str">
        <f t="shared" si="22"/>
        <v/>
      </c>
      <c r="BG13" s="131">
        <f t="shared" si="23"/>
        <v>1</v>
      </c>
      <c r="BH13" s="131">
        <f t="shared" si="24"/>
        <v>1</v>
      </c>
      <c r="BI13" s="131">
        <f t="shared" si="25"/>
        <v>1</v>
      </c>
      <c r="BJ13" s="131" t="str">
        <f t="shared" si="26"/>
        <v/>
      </c>
      <c r="BK13" s="131" t="str">
        <f t="shared" si="27"/>
        <v/>
      </c>
      <c r="BL13" s="131">
        <f t="shared" si="28"/>
        <v>1</v>
      </c>
      <c r="BM13" s="131">
        <f t="shared" si="29"/>
        <v>1</v>
      </c>
      <c r="BN13" s="131">
        <f t="shared" si="30"/>
        <v>1</v>
      </c>
      <c r="BO13" s="131">
        <f t="shared" si="31"/>
        <v>1</v>
      </c>
      <c r="BP13" s="131" t="str">
        <f t="shared" si="32"/>
        <v/>
      </c>
      <c r="BQ13" s="131" t="str">
        <f t="shared" si="33"/>
        <v/>
      </c>
      <c r="BR13" s="131" t="str">
        <f t="shared" si="34"/>
        <v/>
      </c>
      <c r="BS13" s="131" t="str">
        <f t="shared" si="35"/>
        <v/>
      </c>
      <c r="BT13" s="131">
        <f t="shared" si="36"/>
        <v>1</v>
      </c>
      <c r="BU13" s="131" t="str">
        <f t="shared" si="37"/>
        <v/>
      </c>
      <c r="BV13" s="131" t="str">
        <f t="shared" si="38"/>
        <v/>
      </c>
      <c r="BW13" s="131">
        <f t="shared" si="39"/>
        <v>1</v>
      </c>
      <c r="BX13" s="131">
        <f t="shared" si="40"/>
        <v>1</v>
      </c>
      <c r="BY13" s="131">
        <f t="shared" si="41"/>
        <v>1</v>
      </c>
      <c r="BZ13" s="131" t="str">
        <f t="shared" si="42"/>
        <v/>
      </c>
      <c r="CA13" s="131">
        <f t="shared" si="43"/>
        <v>1</v>
      </c>
      <c r="CB13" s="131">
        <f t="shared" si="44"/>
        <v>1</v>
      </c>
      <c r="CC13" s="131" t="str">
        <f t="shared" si="45"/>
        <v/>
      </c>
      <c r="CD13" s="131">
        <f t="shared" si="46"/>
        <v>1</v>
      </c>
      <c r="CE13" s="131" t="str">
        <f t="shared" si="47"/>
        <v/>
      </c>
      <c r="CF13" s="131">
        <f t="shared" si="48"/>
        <v>1</v>
      </c>
      <c r="CG13" s="131">
        <f t="shared" si="49"/>
        <v>1</v>
      </c>
      <c r="CH13" s="131">
        <f t="shared" si="50"/>
        <v>1</v>
      </c>
      <c r="CI13" s="131" t="str">
        <f t="shared" si="51"/>
        <v/>
      </c>
      <c r="CJ13" s="131" t="str">
        <f t="shared" si="52"/>
        <v/>
      </c>
      <c r="CK13" s="131" t="str">
        <f t="shared" si="53"/>
        <v/>
      </c>
      <c r="CL13" s="131" t="str">
        <f t="shared" si="54"/>
        <v/>
      </c>
      <c r="CM13" s="131" t="str">
        <f t="shared" si="55"/>
        <v/>
      </c>
      <c r="CN13" s="131" t="str">
        <f t="shared" si="56"/>
        <v/>
      </c>
      <c r="CO13" s="131" t="str">
        <f t="shared" si="57"/>
        <v/>
      </c>
      <c r="CP13" s="131" t="str">
        <f t="shared" si="58"/>
        <v/>
      </c>
    </row>
    <row r="14" spans="1:94" s="95" customFormat="1" ht="15.95" customHeight="1" x14ac:dyDescent="0.3">
      <c r="A14" s="741"/>
      <c r="B14" s="325">
        <v>3</v>
      </c>
      <c r="C14" s="322" t="s">
        <v>344</v>
      </c>
      <c r="D14" s="541" t="s">
        <v>13</v>
      </c>
      <c r="E14" s="541" t="s">
        <v>86</v>
      </c>
      <c r="F14" s="541" t="s">
        <v>94</v>
      </c>
      <c r="G14" s="541" t="s">
        <v>59</v>
      </c>
      <c r="H14" s="541" t="s">
        <v>54</v>
      </c>
      <c r="I14" s="541" t="s">
        <v>72</v>
      </c>
      <c r="J14" s="541" t="s">
        <v>50</v>
      </c>
      <c r="K14" s="541" t="s">
        <v>64</v>
      </c>
      <c r="L14" s="541" t="s">
        <v>426</v>
      </c>
      <c r="M14" s="541" t="s">
        <v>55</v>
      </c>
      <c r="N14" s="541" t="s">
        <v>78</v>
      </c>
      <c r="O14" s="541" t="s">
        <v>63</v>
      </c>
      <c r="P14" s="541" t="s">
        <v>48</v>
      </c>
      <c r="Q14" s="541" t="s">
        <v>51</v>
      </c>
      <c r="R14" s="541" t="s">
        <v>73</v>
      </c>
      <c r="S14" s="541" t="s">
        <v>74</v>
      </c>
      <c r="T14" s="541" t="s">
        <v>53</v>
      </c>
      <c r="U14" s="541" t="s">
        <v>504</v>
      </c>
      <c r="V14" s="541" t="s">
        <v>49</v>
      </c>
      <c r="W14" s="541" t="s">
        <v>77</v>
      </c>
      <c r="X14" s="541" t="s">
        <v>80</v>
      </c>
      <c r="Y14" s="541" t="s">
        <v>236</v>
      </c>
      <c r="Z14" s="541" t="s">
        <v>76</v>
      </c>
      <c r="AA14" s="541" t="s">
        <v>91</v>
      </c>
      <c r="AB14" s="541" t="s">
        <v>85</v>
      </c>
      <c r="AC14" s="541" t="s">
        <v>83</v>
      </c>
      <c r="AD14" s="541" t="s">
        <v>96</v>
      </c>
      <c r="AE14" s="563" t="s">
        <v>62</v>
      </c>
      <c r="AF14" s="131">
        <f t="shared" si="63"/>
        <v>1</v>
      </c>
      <c r="AG14" s="131" t="str">
        <f t="shared" si="59"/>
        <v/>
      </c>
      <c r="AH14" s="131" t="str">
        <f t="shared" si="60"/>
        <v/>
      </c>
      <c r="AI14" s="131" t="str">
        <f t="shared" si="61"/>
        <v/>
      </c>
      <c r="AJ14" s="131">
        <f t="shared" si="62"/>
        <v>1</v>
      </c>
      <c r="AK14" s="131">
        <f t="shared" si="1"/>
        <v>1</v>
      </c>
      <c r="AL14" s="131">
        <f t="shared" si="2"/>
        <v>1</v>
      </c>
      <c r="AM14" s="131">
        <f t="shared" si="3"/>
        <v>1</v>
      </c>
      <c r="AN14" s="131" t="str">
        <f t="shared" si="4"/>
        <v/>
      </c>
      <c r="AO14" s="131">
        <f t="shared" si="5"/>
        <v>1</v>
      </c>
      <c r="AP14" s="131">
        <f t="shared" si="6"/>
        <v>1</v>
      </c>
      <c r="AQ14" s="131">
        <f t="shared" si="7"/>
        <v>1</v>
      </c>
      <c r="AR14" s="131" t="str">
        <f t="shared" si="8"/>
        <v/>
      </c>
      <c r="AS14" s="131">
        <f t="shared" si="9"/>
        <v>1</v>
      </c>
      <c r="AT14" s="131" t="str">
        <f t="shared" si="10"/>
        <v/>
      </c>
      <c r="AU14" s="131" t="str">
        <f t="shared" si="11"/>
        <v/>
      </c>
      <c r="AV14" s="131">
        <f t="shared" si="12"/>
        <v>1</v>
      </c>
      <c r="AW14" s="131" t="str">
        <f t="shared" si="13"/>
        <v/>
      </c>
      <c r="AX14" s="131" t="str">
        <f t="shared" si="14"/>
        <v/>
      </c>
      <c r="AY14" s="131">
        <f t="shared" si="15"/>
        <v>1</v>
      </c>
      <c r="AZ14" s="131">
        <f t="shared" si="16"/>
        <v>1</v>
      </c>
      <c r="BA14" s="131">
        <f t="shared" si="17"/>
        <v>1</v>
      </c>
      <c r="BB14" s="131" t="str">
        <f t="shared" si="18"/>
        <v/>
      </c>
      <c r="BC14" s="131" t="str">
        <f t="shared" si="19"/>
        <v/>
      </c>
      <c r="BD14" s="131" t="str">
        <f t="shared" si="20"/>
        <v/>
      </c>
      <c r="BE14" s="131" t="str">
        <f t="shared" si="21"/>
        <v/>
      </c>
      <c r="BF14" s="131" t="str">
        <f t="shared" si="22"/>
        <v/>
      </c>
      <c r="BG14" s="131">
        <f t="shared" si="23"/>
        <v>1</v>
      </c>
      <c r="BH14" s="131">
        <f t="shared" si="24"/>
        <v>1</v>
      </c>
      <c r="BI14" s="131">
        <f t="shared" si="25"/>
        <v>1</v>
      </c>
      <c r="BJ14" s="131" t="str">
        <f t="shared" si="26"/>
        <v/>
      </c>
      <c r="BK14" s="131">
        <f t="shared" si="27"/>
        <v>1</v>
      </c>
      <c r="BL14" s="131">
        <f t="shared" si="28"/>
        <v>1</v>
      </c>
      <c r="BM14" s="131">
        <f t="shared" si="29"/>
        <v>1</v>
      </c>
      <c r="BN14" s="131" t="str">
        <f t="shared" si="30"/>
        <v/>
      </c>
      <c r="BO14" s="131">
        <f t="shared" si="31"/>
        <v>1</v>
      </c>
      <c r="BP14" s="131" t="str">
        <f t="shared" si="32"/>
        <v/>
      </c>
      <c r="BQ14" s="131" t="str">
        <f t="shared" si="33"/>
        <v/>
      </c>
      <c r="BR14" s="131" t="str">
        <f t="shared" si="34"/>
        <v/>
      </c>
      <c r="BS14" s="131" t="str">
        <f t="shared" si="35"/>
        <v/>
      </c>
      <c r="BT14" s="131" t="str">
        <f t="shared" si="36"/>
        <v/>
      </c>
      <c r="BU14" s="131">
        <f t="shared" si="37"/>
        <v>1</v>
      </c>
      <c r="BV14" s="131">
        <f t="shared" si="38"/>
        <v>1</v>
      </c>
      <c r="BW14" s="131">
        <f t="shared" si="39"/>
        <v>1</v>
      </c>
      <c r="BX14" s="131">
        <f t="shared" si="40"/>
        <v>1</v>
      </c>
      <c r="BY14" s="131">
        <f t="shared" si="41"/>
        <v>1</v>
      </c>
      <c r="BZ14" s="131" t="str">
        <f t="shared" si="42"/>
        <v/>
      </c>
      <c r="CA14" s="131">
        <f t="shared" si="43"/>
        <v>1</v>
      </c>
      <c r="CB14" s="131" t="str">
        <f t="shared" si="44"/>
        <v/>
      </c>
      <c r="CC14" s="131" t="str">
        <f t="shared" si="45"/>
        <v/>
      </c>
      <c r="CD14" s="131" t="str">
        <f t="shared" si="46"/>
        <v/>
      </c>
      <c r="CE14" s="131" t="str">
        <f t="shared" si="47"/>
        <v/>
      </c>
      <c r="CF14" s="131">
        <f t="shared" si="48"/>
        <v>1</v>
      </c>
      <c r="CG14" s="131" t="str">
        <f t="shared" si="49"/>
        <v/>
      </c>
      <c r="CH14" s="131">
        <f t="shared" si="50"/>
        <v>1</v>
      </c>
      <c r="CI14" s="131" t="str">
        <f t="shared" si="51"/>
        <v/>
      </c>
      <c r="CJ14" s="131" t="str">
        <f t="shared" si="52"/>
        <v/>
      </c>
      <c r="CK14" s="131" t="str">
        <f t="shared" si="53"/>
        <v/>
      </c>
      <c r="CL14" s="131" t="str">
        <f t="shared" si="54"/>
        <v/>
      </c>
      <c r="CM14" s="131" t="str">
        <f t="shared" si="55"/>
        <v/>
      </c>
      <c r="CN14" s="131" t="str">
        <f t="shared" si="56"/>
        <v/>
      </c>
      <c r="CO14" s="131" t="str">
        <f t="shared" si="57"/>
        <v/>
      </c>
      <c r="CP14" s="131" t="str">
        <f t="shared" si="58"/>
        <v/>
      </c>
    </row>
    <row r="15" spans="1:94" s="95" customFormat="1" ht="15.95" customHeight="1" x14ac:dyDescent="0.3">
      <c r="A15" s="741"/>
      <c r="B15" s="325">
        <v>4</v>
      </c>
      <c r="C15" s="322" t="s">
        <v>345</v>
      </c>
      <c r="D15" s="541" t="s">
        <v>95</v>
      </c>
      <c r="E15" s="541" t="s">
        <v>59</v>
      </c>
      <c r="F15" s="541" t="s">
        <v>54</v>
      </c>
      <c r="G15" s="541" t="s">
        <v>92</v>
      </c>
      <c r="H15" s="541" t="s">
        <v>58</v>
      </c>
      <c r="I15" s="541" t="s">
        <v>72</v>
      </c>
      <c r="J15" s="541" t="s">
        <v>50</v>
      </c>
      <c r="K15" s="541" t="s">
        <v>51</v>
      </c>
      <c r="L15" s="541" t="s">
        <v>83</v>
      </c>
      <c r="M15" s="541" t="s">
        <v>426</v>
      </c>
      <c r="N15" s="541" t="s">
        <v>78</v>
      </c>
      <c r="O15" s="541" t="s">
        <v>55</v>
      </c>
      <c r="P15" s="541" t="s">
        <v>79</v>
      </c>
      <c r="Q15" s="541" t="s">
        <v>85</v>
      </c>
      <c r="R15" s="541" t="s">
        <v>48</v>
      </c>
      <c r="S15" s="541" t="s">
        <v>74</v>
      </c>
      <c r="T15" s="541" t="s">
        <v>53</v>
      </c>
      <c r="U15" s="541" t="s">
        <v>57</v>
      </c>
      <c r="V15" s="541" t="s">
        <v>49</v>
      </c>
      <c r="W15" s="541" t="s">
        <v>77</v>
      </c>
      <c r="X15" s="541" t="s">
        <v>80</v>
      </c>
      <c r="Y15" s="541" t="s">
        <v>96</v>
      </c>
      <c r="Z15" s="541" t="s">
        <v>76</v>
      </c>
      <c r="AA15" s="541" t="s">
        <v>93</v>
      </c>
      <c r="AB15" s="541" t="s">
        <v>91</v>
      </c>
      <c r="AC15" s="541" t="s">
        <v>62</v>
      </c>
      <c r="AD15" s="541" t="s">
        <v>236</v>
      </c>
      <c r="AE15" s="563" t="s">
        <v>88</v>
      </c>
      <c r="AF15" s="131" t="str">
        <f t="shared" si="63"/>
        <v/>
      </c>
      <c r="AG15" s="131" t="str">
        <f t="shared" si="59"/>
        <v/>
      </c>
      <c r="AH15" s="131" t="str">
        <f t="shared" si="60"/>
        <v/>
      </c>
      <c r="AI15" s="131" t="str">
        <f t="shared" si="61"/>
        <v/>
      </c>
      <c r="AJ15" s="131">
        <f t="shared" si="62"/>
        <v>1</v>
      </c>
      <c r="AK15" s="131">
        <f t="shared" si="1"/>
        <v>1</v>
      </c>
      <c r="AL15" s="131">
        <f t="shared" si="2"/>
        <v>1</v>
      </c>
      <c r="AM15" s="131">
        <f t="shared" si="3"/>
        <v>1</v>
      </c>
      <c r="AN15" s="131" t="str">
        <f t="shared" si="4"/>
        <v/>
      </c>
      <c r="AO15" s="131">
        <f t="shared" si="5"/>
        <v>1</v>
      </c>
      <c r="AP15" s="131">
        <f t="shared" si="6"/>
        <v>1</v>
      </c>
      <c r="AQ15" s="131">
        <f t="shared" si="7"/>
        <v>1</v>
      </c>
      <c r="AR15" s="131" t="str">
        <f t="shared" si="8"/>
        <v/>
      </c>
      <c r="AS15" s="131">
        <f t="shared" si="9"/>
        <v>1</v>
      </c>
      <c r="AT15" s="131">
        <f t="shared" si="10"/>
        <v>1</v>
      </c>
      <c r="AU15" s="131">
        <f t="shared" si="11"/>
        <v>1</v>
      </c>
      <c r="AV15" s="131">
        <f t="shared" si="12"/>
        <v>1</v>
      </c>
      <c r="AW15" s="131" t="str">
        <f t="shared" si="13"/>
        <v/>
      </c>
      <c r="AX15" s="131" t="str">
        <f t="shared" si="14"/>
        <v/>
      </c>
      <c r="AY15" s="131">
        <f t="shared" si="15"/>
        <v>1</v>
      </c>
      <c r="AZ15" s="131" t="str">
        <f t="shared" si="16"/>
        <v/>
      </c>
      <c r="BA15" s="131" t="str">
        <f t="shared" si="17"/>
        <v/>
      </c>
      <c r="BB15" s="131" t="str">
        <f t="shared" si="18"/>
        <v/>
      </c>
      <c r="BC15" s="131" t="str">
        <f t="shared" si="19"/>
        <v/>
      </c>
      <c r="BD15" s="131" t="str">
        <f t="shared" si="20"/>
        <v/>
      </c>
      <c r="BE15" s="131" t="str">
        <f t="shared" si="21"/>
        <v/>
      </c>
      <c r="BF15" s="131" t="str">
        <f t="shared" si="22"/>
        <v/>
      </c>
      <c r="BG15" s="131">
        <f t="shared" si="23"/>
        <v>1</v>
      </c>
      <c r="BH15" s="131" t="str">
        <f t="shared" si="24"/>
        <v/>
      </c>
      <c r="BI15" s="131">
        <f t="shared" si="25"/>
        <v>1</v>
      </c>
      <c r="BJ15" s="131" t="str">
        <f t="shared" si="26"/>
        <v/>
      </c>
      <c r="BK15" s="131">
        <f t="shared" si="27"/>
        <v>1</v>
      </c>
      <c r="BL15" s="131">
        <f t="shared" si="28"/>
        <v>1</v>
      </c>
      <c r="BM15" s="131">
        <f t="shared" si="29"/>
        <v>1</v>
      </c>
      <c r="BN15" s="131">
        <f t="shared" si="30"/>
        <v>1</v>
      </c>
      <c r="BO15" s="131">
        <f t="shared" si="31"/>
        <v>1</v>
      </c>
      <c r="BP15" s="131" t="str">
        <f t="shared" si="32"/>
        <v/>
      </c>
      <c r="BQ15" s="131" t="str">
        <f t="shared" si="33"/>
        <v/>
      </c>
      <c r="BR15" s="131" t="str">
        <f t="shared" si="34"/>
        <v/>
      </c>
      <c r="BS15" s="131" t="str">
        <f t="shared" si="35"/>
        <v/>
      </c>
      <c r="BT15" s="131">
        <f t="shared" si="36"/>
        <v>1</v>
      </c>
      <c r="BU15" s="131">
        <f t="shared" si="37"/>
        <v>1</v>
      </c>
      <c r="BV15" s="131">
        <f t="shared" si="38"/>
        <v>1</v>
      </c>
      <c r="BW15" s="131">
        <f t="shared" si="39"/>
        <v>1</v>
      </c>
      <c r="BX15" s="131" t="str">
        <f t="shared" si="40"/>
        <v/>
      </c>
      <c r="BY15" s="131" t="str">
        <f t="shared" si="41"/>
        <v/>
      </c>
      <c r="BZ15" s="131" t="str">
        <f t="shared" si="42"/>
        <v/>
      </c>
      <c r="CA15" s="131">
        <f t="shared" si="43"/>
        <v>1</v>
      </c>
      <c r="CB15" s="131">
        <f t="shared" si="44"/>
        <v>1</v>
      </c>
      <c r="CC15" s="131" t="str">
        <f t="shared" si="45"/>
        <v/>
      </c>
      <c r="CD15" s="131">
        <f t="shared" si="46"/>
        <v>1</v>
      </c>
      <c r="CE15" s="131" t="str">
        <f t="shared" si="47"/>
        <v/>
      </c>
      <c r="CF15" s="131" t="str">
        <f t="shared" si="48"/>
        <v/>
      </c>
      <c r="CG15" s="131">
        <f t="shared" si="49"/>
        <v>1</v>
      </c>
      <c r="CH15" s="131">
        <f t="shared" si="50"/>
        <v>1</v>
      </c>
      <c r="CI15" s="131" t="str">
        <f t="shared" si="51"/>
        <v/>
      </c>
      <c r="CJ15" s="131" t="str">
        <f t="shared" si="52"/>
        <v/>
      </c>
      <c r="CK15" s="131" t="str">
        <f t="shared" si="53"/>
        <v/>
      </c>
      <c r="CL15" s="131" t="str">
        <f t="shared" si="54"/>
        <v/>
      </c>
      <c r="CM15" s="131" t="str">
        <f t="shared" si="55"/>
        <v/>
      </c>
      <c r="CN15" s="131" t="str">
        <f t="shared" si="56"/>
        <v/>
      </c>
      <c r="CO15" s="131" t="str">
        <f t="shared" si="57"/>
        <v/>
      </c>
      <c r="CP15" s="131" t="str">
        <f t="shared" si="58"/>
        <v/>
      </c>
    </row>
    <row r="16" spans="1:94" s="95" customFormat="1" ht="15.95" customHeight="1" x14ac:dyDescent="0.3">
      <c r="A16" s="742"/>
      <c r="B16" s="326">
        <v>5</v>
      </c>
      <c r="C16" s="323" t="s">
        <v>346</v>
      </c>
      <c r="D16" s="542" t="s">
        <v>57</v>
      </c>
      <c r="E16" s="542" t="s">
        <v>95</v>
      </c>
      <c r="F16" s="542" t="s">
        <v>54</v>
      </c>
      <c r="G16" s="542" t="s">
        <v>92</v>
      </c>
      <c r="H16" s="542" t="s">
        <v>88</v>
      </c>
      <c r="I16" s="542" t="s">
        <v>96</v>
      </c>
      <c r="J16" s="542" t="s">
        <v>72</v>
      </c>
      <c r="K16" s="542" t="s">
        <v>51</v>
      </c>
      <c r="L16" s="542" t="s">
        <v>53</v>
      </c>
      <c r="M16" s="542" t="s">
        <v>85</v>
      </c>
      <c r="N16" s="542" t="s">
        <v>78</v>
      </c>
      <c r="O16" s="542" t="s">
        <v>13</v>
      </c>
      <c r="P16" s="542" t="s">
        <v>79</v>
      </c>
      <c r="Q16" s="542" t="s">
        <v>504</v>
      </c>
      <c r="R16" s="542" t="s">
        <v>48</v>
      </c>
      <c r="S16" s="542" t="s">
        <v>94</v>
      </c>
      <c r="T16" s="542" t="s">
        <v>73</v>
      </c>
      <c r="U16" s="542" t="s">
        <v>49</v>
      </c>
      <c r="V16" s="542" t="s">
        <v>236</v>
      </c>
      <c r="W16" s="542" t="s">
        <v>83</v>
      </c>
      <c r="X16" s="542" t="s">
        <v>93</v>
      </c>
      <c r="Y16" s="542" t="s">
        <v>77</v>
      </c>
      <c r="Z16" s="542" t="s">
        <v>86</v>
      </c>
      <c r="AA16" s="542" t="s">
        <v>80</v>
      </c>
      <c r="AB16" s="542" t="s">
        <v>91</v>
      </c>
      <c r="AC16" s="542" t="s">
        <v>62</v>
      </c>
      <c r="AD16" s="542" t="s">
        <v>55</v>
      </c>
      <c r="AE16" s="564" t="s">
        <v>76</v>
      </c>
      <c r="AF16" s="131">
        <f t="shared" si="63"/>
        <v>1</v>
      </c>
      <c r="AG16" s="131" t="str">
        <f t="shared" si="59"/>
        <v/>
      </c>
      <c r="AH16" s="131" t="str">
        <f t="shared" si="60"/>
        <v/>
      </c>
      <c r="AI16" s="131" t="str">
        <f t="shared" si="61"/>
        <v/>
      </c>
      <c r="AJ16" s="131">
        <f t="shared" si="62"/>
        <v>1</v>
      </c>
      <c r="AK16" s="131">
        <f t="shared" si="1"/>
        <v>1</v>
      </c>
      <c r="AL16" s="131" t="str">
        <f t="shared" si="2"/>
        <v/>
      </c>
      <c r="AM16" s="131">
        <f t="shared" si="3"/>
        <v>1</v>
      </c>
      <c r="AN16" s="131" t="str">
        <f t="shared" si="4"/>
        <v/>
      </c>
      <c r="AO16" s="131">
        <f t="shared" si="5"/>
        <v>1</v>
      </c>
      <c r="AP16" s="131">
        <f t="shared" si="6"/>
        <v>1</v>
      </c>
      <c r="AQ16" s="131">
        <f t="shared" si="7"/>
        <v>1</v>
      </c>
      <c r="AR16" s="131" t="str">
        <f t="shared" si="8"/>
        <v/>
      </c>
      <c r="AS16" s="131">
        <f t="shared" si="9"/>
        <v>1</v>
      </c>
      <c r="AT16" s="131">
        <f t="shared" si="10"/>
        <v>1</v>
      </c>
      <c r="AU16" s="131" t="str">
        <f t="shared" si="11"/>
        <v/>
      </c>
      <c r="AV16" s="131" t="str">
        <f t="shared" si="12"/>
        <v/>
      </c>
      <c r="AW16" s="131" t="str">
        <f t="shared" si="13"/>
        <v/>
      </c>
      <c r="AX16" s="131" t="str">
        <f t="shared" si="14"/>
        <v/>
      </c>
      <c r="AY16" s="131">
        <f t="shared" si="15"/>
        <v>1</v>
      </c>
      <c r="AZ16" s="131" t="str">
        <f t="shared" si="16"/>
        <v/>
      </c>
      <c r="BA16" s="131" t="str">
        <f t="shared" si="17"/>
        <v/>
      </c>
      <c r="BB16" s="131" t="str">
        <f t="shared" si="18"/>
        <v/>
      </c>
      <c r="BC16" s="131" t="str">
        <f t="shared" si="19"/>
        <v/>
      </c>
      <c r="BD16" s="131" t="str">
        <f t="shared" si="20"/>
        <v/>
      </c>
      <c r="BE16" s="131" t="str">
        <f t="shared" si="21"/>
        <v/>
      </c>
      <c r="BF16" s="131" t="str">
        <f t="shared" si="22"/>
        <v/>
      </c>
      <c r="BG16" s="131">
        <f t="shared" si="23"/>
        <v>1</v>
      </c>
      <c r="BH16" s="131">
        <f t="shared" si="24"/>
        <v>1</v>
      </c>
      <c r="BI16" s="131" t="str">
        <f t="shared" si="25"/>
        <v/>
      </c>
      <c r="BJ16" s="131" t="str">
        <f t="shared" si="26"/>
        <v/>
      </c>
      <c r="BK16" s="131">
        <f t="shared" si="27"/>
        <v>1</v>
      </c>
      <c r="BL16" s="131">
        <f t="shared" si="28"/>
        <v>1</v>
      </c>
      <c r="BM16" s="131">
        <f t="shared" si="29"/>
        <v>1</v>
      </c>
      <c r="BN16" s="131">
        <f t="shared" si="30"/>
        <v>1</v>
      </c>
      <c r="BO16" s="131">
        <f t="shared" si="31"/>
        <v>1</v>
      </c>
      <c r="BP16" s="131" t="str">
        <f t="shared" si="32"/>
        <v/>
      </c>
      <c r="BQ16" s="131" t="str">
        <f t="shared" si="33"/>
        <v/>
      </c>
      <c r="BR16" s="131" t="str">
        <f t="shared" si="34"/>
        <v/>
      </c>
      <c r="BS16" s="131" t="str">
        <f t="shared" si="35"/>
        <v/>
      </c>
      <c r="BT16" s="131">
        <f t="shared" si="36"/>
        <v>1</v>
      </c>
      <c r="BU16" s="131" t="str">
        <f t="shared" si="37"/>
        <v/>
      </c>
      <c r="BV16" s="131">
        <f t="shared" si="38"/>
        <v>1</v>
      </c>
      <c r="BW16" s="131">
        <f t="shared" si="39"/>
        <v>1</v>
      </c>
      <c r="BX16" s="131">
        <f t="shared" si="40"/>
        <v>1</v>
      </c>
      <c r="BY16" s="131">
        <f t="shared" si="41"/>
        <v>1</v>
      </c>
      <c r="BZ16" s="131" t="str">
        <f t="shared" si="42"/>
        <v/>
      </c>
      <c r="CA16" s="131">
        <f t="shared" si="43"/>
        <v>1</v>
      </c>
      <c r="CB16" s="131">
        <f t="shared" si="44"/>
        <v>1</v>
      </c>
      <c r="CC16" s="131" t="str">
        <f t="shared" si="45"/>
        <v/>
      </c>
      <c r="CD16" s="131">
        <f t="shared" si="46"/>
        <v>1</v>
      </c>
      <c r="CE16" s="131" t="str">
        <f t="shared" si="47"/>
        <v/>
      </c>
      <c r="CF16" s="131">
        <f t="shared" si="48"/>
        <v>1</v>
      </c>
      <c r="CG16" s="131">
        <f t="shared" si="49"/>
        <v>1</v>
      </c>
      <c r="CH16" s="131">
        <f t="shared" si="50"/>
        <v>1</v>
      </c>
      <c r="CI16" s="131" t="str">
        <f t="shared" si="51"/>
        <v/>
      </c>
      <c r="CJ16" s="131" t="str">
        <f t="shared" si="52"/>
        <v/>
      </c>
      <c r="CK16" s="131" t="str">
        <f t="shared" si="53"/>
        <v/>
      </c>
      <c r="CL16" s="131" t="str">
        <f t="shared" si="54"/>
        <v/>
      </c>
      <c r="CM16" s="131" t="str">
        <f t="shared" si="55"/>
        <v/>
      </c>
      <c r="CN16" s="131" t="str">
        <f t="shared" si="56"/>
        <v/>
      </c>
      <c r="CO16" s="131" t="str">
        <f t="shared" si="57"/>
        <v/>
      </c>
      <c r="CP16" s="131" t="str">
        <f t="shared" si="58"/>
        <v/>
      </c>
    </row>
    <row r="17" spans="1:94" s="90" customFormat="1" ht="15.95" customHeight="1" x14ac:dyDescent="0.3">
      <c r="A17" s="737">
        <v>4</v>
      </c>
      <c r="B17" s="92">
        <v>1</v>
      </c>
      <c r="C17" s="240" t="s">
        <v>301</v>
      </c>
      <c r="D17" s="386" t="s">
        <v>13</v>
      </c>
      <c r="E17" s="386" t="s">
        <v>77</v>
      </c>
      <c r="F17" s="386" t="s">
        <v>54</v>
      </c>
      <c r="G17" s="386" t="s">
        <v>59</v>
      </c>
      <c r="H17" s="386" t="s">
        <v>69</v>
      </c>
      <c r="I17" s="386" t="s">
        <v>68</v>
      </c>
      <c r="J17" s="386" t="s">
        <v>60</v>
      </c>
      <c r="K17" s="386" t="s">
        <v>81</v>
      </c>
      <c r="L17" s="386" t="s">
        <v>92</v>
      </c>
      <c r="M17" s="386" t="s">
        <v>504</v>
      </c>
      <c r="N17" s="386" t="s">
        <v>47</v>
      </c>
      <c r="O17" s="386" t="s">
        <v>55</v>
      </c>
      <c r="P17" s="386" t="s">
        <v>63</v>
      </c>
      <c r="Q17" s="386" t="s">
        <v>80</v>
      </c>
      <c r="R17" s="386" t="s">
        <v>48</v>
      </c>
      <c r="S17" s="386" t="s">
        <v>94</v>
      </c>
      <c r="T17" s="386" t="s">
        <v>190</v>
      </c>
      <c r="U17" s="386" t="s">
        <v>66</v>
      </c>
      <c r="V17" s="386" t="s">
        <v>49</v>
      </c>
      <c r="W17" s="386" t="s">
        <v>75</v>
      </c>
      <c r="X17" s="386" t="s">
        <v>61</v>
      </c>
      <c r="Y17" s="386" t="s">
        <v>96</v>
      </c>
      <c r="Z17" s="386" t="s">
        <v>236</v>
      </c>
      <c r="AA17" s="386" t="s">
        <v>93</v>
      </c>
      <c r="AB17" s="386" t="s">
        <v>76</v>
      </c>
      <c r="AC17" s="386" t="s">
        <v>97</v>
      </c>
      <c r="AD17" s="386" t="s">
        <v>83</v>
      </c>
      <c r="AE17" s="565" t="s">
        <v>46</v>
      </c>
      <c r="AF17" s="130">
        <f t="shared" si="63"/>
        <v>1</v>
      </c>
      <c r="AG17" s="130" t="str">
        <f t="shared" si="59"/>
        <v/>
      </c>
      <c r="AH17" s="130">
        <f t="shared" si="60"/>
        <v>1</v>
      </c>
      <c r="AI17" s="130">
        <f t="shared" si="61"/>
        <v>1</v>
      </c>
      <c r="AJ17" s="130">
        <f t="shared" si="62"/>
        <v>1</v>
      </c>
      <c r="AK17" s="130">
        <f t="shared" si="1"/>
        <v>1</v>
      </c>
      <c r="AL17" s="130" t="str">
        <f t="shared" si="2"/>
        <v/>
      </c>
      <c r="AM17" s="130" t="str">
        <f t="shared" si="3"/>
        <v/>
      </c>
      <c r="AN17" s="130" t="str">
        <f t="shared" si="4"/>
        <v/>
      </c>
      <c r="AO17" s="130" t="str">
        <f t="shared" si="5"/>
        <v/>
      </c>
      <c r="AP17" s="130">
        <f t="shared" si="6"/>
        <v>1</v>
      </c>
      <c r="AQ17" s="130">
        <f t="shared" si="7"/>
        <v>1</v>
      </c>
      <c r="AR17" s="130" t="str">
        <f t="shared" si="8"/>
        <v/>
      </c>
      <c r="AS17" s="130">
        <f t="shared" si="9"/>
        <v>1</v>
      </c>
      <c r="AT17" s="130" t="str">
        <f t="shared" si="10"/>
        <v/>
      </c>
      <c r="AU17" s="130" t="str">
        <f t="shared" si="11"/>
        <v/>
      </c>
      <c r="AV17" s="130">
        <f t="shared" si="12"/>
        <v>1</v>
      </c>
      <c r="AW17" s="130">
        <f t="shared" si="13"/>
        <v>1</v>
      </c>
      <c r="AX17" s="130">
        <f t="shared" si="14"/>
        <v>1</v>
      </c>
      <c r="AY17" s="130" t="str">
        <f t="shared" si="15"/>
        <v/>
      </c>
      <c r="AZ17" s="130">
        <f t="shared" si="16"/>
        <v>1</v>
      </c>
      <c r="BA17" s="130" t="str">
        <f t="shared" si="17"/>
        <v/>
      </c>
      <c r="BB17" s="130">
        <f t="shared" si="18"/>
        <v>1</v>
      </c>
      <c r="BC17" s="130" t="str">
        <f t="shared" si="19"/>
        <v/>
      </c>
      <c r="BD17" s="130">
        <f t="shared" si="20"/>
        <v>1</v>
      </c>
      <c r="BE17" s="130">
        <f t="shared" si="21"/>
        <v>1</v>
      </c>
      <c r="BF17" s="130" t="str">
        <f t="shared" si="22"/>
        <v/>
      </c>
      <c r="BG17" s="130" t="str">
        <f t="shared" si="23"/>
        <v/>
      </c>
      <c r="BH17" s="130" t="str">
        <f t="shared" si="24"/>
        <v/>
      </c>
      <c r="BI17" s="130" t="str">
        <f t="shared" si="25"/>
        <v/>
      </c>
      <c r="BJ17" s="130">
        <f t="shared" si="26"/>
        <v>1</v>
      </c>
      <c r="BK17" s="130">
        <f t="shared" si="27"/>
        <v>1</v>
      </c>
      <c r="BL17" s="130">
        <f t="shared" si="28"/>
        <v>1</v>
      </c>
      <c r="BM17" s="130" t="str">
        <f t="shared" si="29"/>
        <v/>
      </c>
      <c r="BN17" s="130" t="str">
        <f t="shared" si="30"/>
        <v/>
      </c>
      <c r="BO17" s="130">
        <f t="shared" si="31"/>
        <v>1</v>
      </c>
      <c r="BP17" s="130">
        <f t="shared" si="32"/>
        <v>1</v>
      </c>
      <c r="BQ17" s="130" t="str">
        <f t="shared" si="33"/>
        <v/>
      </c>
      <c r="BR17" s="130" t="str">
        <f t="shared" si="34"/>
        <v/>
      </c>
      <c r="BS17" s="130" t="str">
        <f t="shared" si="35"/>
        <v/>
      </c>
      <c r="BT17" s="130" t="str">
        <f t="shared" si="36"/>
        <v/>
      </c>
      <c r="BU17" s="130" t="str">
        <f t="shared" si="37"/>
        <v/>
      </c>
      <c r="BV17" s="130">
        <f t="shared" si="38"/>
        <v>1</v>
      </c>
      <c r="BW17" s="130" t="str">
        <f t="shared" si="39"/>
        <v/>
      </c>
      <c r="BX17" s="130" t="str">
        <f t="shared" si="40"/>
        <v/>
      </c>
      <c r="BY17" s="130">
        <f t="shared" si="41"/>
        <v>1</v>
      </c>
      <c r="BZ17" s="130" t="str">
        <f t="shared" si="42"/>
        <v/>
      </c>
      <c r="CA17" s="130" t="str">
        <f t="shared" si="43"/>
        <v/>
      </c>
      <c r="CB17" s="130">
        <f t="shared" si="44"/>
        <v>1</v>
      </c>
      <c r="CC17" s="130" t="str">
        <f t="shared" si="45"/>
        <v/>
      </c>
      <c r="CD17" s="130">
        <f t="shared" si="46"/>
        <v>1</v>
      </c>
      <c r="CE17" s="130">
        <f t="shared" si="47"/>
        <v>1</v>
      </c>
      <c r="CF17" s="130">
        <f t="shared" si="48"/>
        <v>1</v>
      </c>
      <c r="CG17" s="130" t="str">
        <f t="shared" si="49"/>
        <v/>
      </c>
      <c r="CH17" s="130">
        <f t="shared" si="50"/>
        <v>1</v>
      </c>
      <c r="CI17" s="130">
        <f t="shared" si="51"/>
        <v>1</v>
      </c>
      <c r="CJ17" s="130" t="str">
        <f t="shared" si="52"/>
        <v/>
      </c>
      <c r="CK17" s="130" t="str">
        <f t="shared" si="53"/>
        <v/>
      </c>
      <c r="CL17" s="130" t="str">
        <f t="shared" si="54"/>
        <v/>
      </c>
      <c r="CM17" s="130" t="str">
        <f t="shared" si="55"/>
        <v/>
      </c>
      <c r="CN17" s="130" t="str">
        <f t="shared" si="56"/>
        <v/>
      </c>
      <c r="CO17" s="130" t="str">
        <f t="shared" si="57"/>
        <v/>
      </c>
      <c r="CP17" s="130" t="str">
        <f t="shared" si="58"/>
        <v/>
      </c>
    </row>
    <row r="18" spans="1:94" s="90" customFormat="1" ht="15.95" customHeight="1" x14ac:dyDescent="0.3">
      <c r="A18" s="738"/>
      <c r="B18" s="93">
        <v>2</v>
      </c>
      <c r="C18" s="241" t="s">
        <v>303</v>
      </c>
      <c r="D18" s="384" t="s">
        <v>13</v>
      </c>
      <c r="E18" s="384" t="s">
        <v>77</v>
      </c>
      <c r="F18" s="384" t="s">
        <v>54</v>
      </c>
      <c r="G18" s="384" t="s">
        <v>75</v>
      </c>
      <c r="H18" s="384" t="s">
        <v>69</v>
      </c>
      <c r="I18" s="384" t="s">
        <v>48</v>
      </c>
      <c r="J18" s="384" t="s">
        <v>96</v>
      </c>
      <c r="K18" s="384" t="s">
        <v>81</v>
      </c>
      <c r="L18" s="384" t="s">
        <v>92</v>
      </c>
      <c r="M18" s="384" t="s">
        <v>93</v>
      </c>
      <c r="N18" s="384" t="s">
        <v>47</v>
      </c>
      <c r="O18" s="384" t="s">
        <v>59</v>
      </c>
      <c r="P18" s="384" t="s">
        <v>94</v>
      </c>
      <c r="Q18" s="384" t="s">
        <v>80</v>
      </c>
      <c r="R18" s="384" t="s">
        <v>63</v>
      </c>
      <c r="S18" s="384" t="s">
        <v>60</v>
      </c>
      <c r="T18" s="384" t="s">
        <v>504</v>
      </c>
      <c r="U18" s="384" t="s">
        <v>66</v>
      </c>
      <c r="V18" s="384" t="s">
        <v>190</v>
      </c>
      <c r="W18" s="384" t="s">
        <v>97</v>
      </c>
      <c r="X18" s="384" t="s">
        <v>61</v>
      </c>
      <c r="Y18" s="384" t="s">
        <v>68</v>
      </c>
      <c r="Z18" s="384" t="s">
        <v>88</v>
      </c>
      <c r="AA18" s="384" t="s">
        <v>83</v>
      </c>
      <c r="AB18" s="384" t="s">
        <v>76</v>
      </c>
      <c r="AC18" s="384" t="s">
        <v>236</v>
      </c>
      <c r="AD18" s="384" t="s">
        <v>55</v>
      </c>
      <c r="AE18" s="560" t="s">
        <v>62</v>
      </c>
      <c r="AF18" s="130">
        <f t="shared" si="63"/>
        <v>1</v>
      </c>
      <c r="AG18" s="130" t="str">
        <f t="shared" si="59"/>
        <v/>
      </c>
      <c r="AH18" s="130" t="str">
        <f t="shared" si="60"/>
        <v/>
      </c>
      <c r="AI18" s="130">
        <f t="shared" si="61"/>
        <v>1</v>
      </c>
      <c r="AJ18" s="130">
        <f t="shared" si="62"/>
        <v>1</v>
      </c>
      <c r="AK18" s="130" t="str">
        <f t="shared" si="1"/>
        <v/>
      </c>
      <c r="AL18" s="130" t="str">
        <f t="shared" si="2"/>
        <v/>
      </c>
      <c r="AM18" s="130" t="str">
        <f t="shared" si="3"/>
        <v/>
      </c>
      <c r="AN18" s="130" t="str">
        <f t="shared" si="4"/>
        <v/>
      </c>
      <c r="AO18" s="130" t="str">
        <f t="shared" si="5"/>
        <v/>
      </c>
      <c r="AP18" s="130">
        <f t="shared" si="6"/>
        <v>1</v>
      </c>
      <c r="AQ18" s="130">
        <f t="shared" si="7"/>
        <v>1</v>
      </c>
      <c r="AR18" s="130" t="str">
        <f t="shared" si="8"/>
        <v/>
      </c>
      <c r="AS18" s="130">
        <f t="shared" si="9"/>
        <v>1</v>
      </c>
      <c r="AT18" s="130" t="str">
        <f t="shared" si="10"/>
        <v/>
      </c>
      <c r="AU18" s="130" t="str">
        <f t="shared" si="11"/>
        <v/>
      </c>
      <c r="AV18" s="130">
        <f t="shared" si="12"/>
        <v>1</v>
      </c>
      <c r="AW18" s="130">
        <f t="shared" si="13"/>
        <v>1</v>
      </c>
      <c r="AX18" s="130">
        <f t="shared" si="14"/>
        <v>1</v>
      </c>
      <c r="AY18" s="130">
        <f t="shared" si="15"/>
        <v>1</v>
      </c>
      <c r="AZ18" s="130">
        <f t="shared" si="16"/>
        <v>1</v>
      </c>
      <c r="BA18" s="130" t="str">
        <f t="shared" si="17"/>
        <v/>
      </c>
      <c r="BB18" s="130">
        <f t="shared" si="18"/>
        <v>1</v>
      </c>
      <c r="BC18" s="130" t="str">
        <f t="shared" si="19"/>
        <v/>
      </c>
      <c r="BD18" s="130">
        <f t="shared" si="20"/>
        <v>1</v>
      </c>
      <c r="BE18" s="130">
        <f t="shared" si="21"/>
        <v>1</v>
      </c>
      <c r="BF18" s="130" t="str">
        <f t="shared" si="22"/>
        <v/>
      </c>
      <c r="BG18" s="130" t="str">
        <f t="shared" si="23"/>
        <v/>
      </c>
      <c r="BH18" s="130" t="str">
        <f t="shared" si="24"/>
        <v/>
      </c>
      <c r="BI18" s="130" t="str">
        <f t="shared" si="25"/>
        <v/>
      </c>
      <c r="BJ18" s="130">
        <f t="shared" si="26"/>
        <v>1</v>
      </c>
      <c r="BK18" s="130">
        <f t="shared" si="27"/>
        <v>1</v>
      </c>
      <c r="BL18" s="130">
        <f t="shared" si="28"/>
        <v>1</v>
      </c>
      <c r="BM18" s="130" t="str">
        <f t="shared" si="29"/>
        <v/>
      </c>
      <c r="BN18" s="130" t="str">
        <f t="shared" si="30"/>
        <v/>
      </c>
      <c r="BO18" s="130">
        <f t="shared" si="31"/>
        <v>1</v>
      </c>
      <c r="BP18" s="130">
        <f t="shared" si="32"/>
        <v>1</v>
      </c>
      <c r="BQ18" s="130" t="str">
        <f t="shared" si="33"/>
        <v/>
      </c>
      <c r="BR18" s="130" t="str">
        <f t="shared" si="34"/>
        <v/>
      </c>
      <c r="BS18" s="130" t="str">
        <f t="shared" si="35"/>
        <v/>
      </c>
      <c r="BT18" s="130">
        <f t="shared" si="36"/>
        <v>1</v>
      </c>
      <c r="BU18" s="130" t="str">
        <f t="shared" si="37"/>
        <v/>
      </c>
      <c r="BV18" s="130">
        <f t="shared" si="38"/>
        <v>1</v>
      </c>
      <c r="BW18" s="130" t="str">
        <f t="shared" si="39"/>
        <v/>
      </c>
      <c r="BX18" s="130" t="str">
        <f t="shared" si="40"/>
        <v/>
      </c>
      <c r="BY18" s="130">
        <f t="shared" si="41"/>
        <v>1</v>
      </c>
      <c r="BZ18" s="130" t="str">
        <f t="shared" si="42"/>
        <v/>
      </c>
      <c r="CA18" s="130" t="str">
        <f t="shared" si="43"/>
        <v/>
      </c>
      <c r="CB18" s="130">
        <f t="shared" si="44"/>
        <v>1</v>
      </c>
      <c r="CC18" s="130" t="str">
        <f t="shared" si="45"/>
        <v/>
      </c>
      <c r="CD18" s="130">
        <f t="shared" si="46"/>
        <v>1</v>
      </c>
      <c r="CE18" s="130">
        <f t="shared" si="47"/>
        <v>1</v>
      </c>
      <c r="CF18" s="130">
        <f t="shared" si="48"/>
        <v>1</v>
      </c>
      <c r="CG18" s="130" t="str">
        <f t="shared" si="49"/>
        <v/>
      </c>
      <c r="CH18" s="130">
        <f t="shared" si="50"/>
        <v>1</v>
      </c>
      <c r="CI18" s="130">
        <f t="shared" si="51"/>
        <v>1</v>
      </c>
      <c r="CJ18" s="130" t="str">
        <f t="shared" si="52"/>
        <v/>
      </c>
      <c r="CK18" s="130" t="str">
        <f t="shared" si="53"/>
        <v/>
      </c>
      <c r="CL18" s="130" t="str">
        <f t="shared" si="54"/>
        <v/>
      </c>
      <c r="CM18" s="130" t="str">
        <f t="shared" si="55"/>
        <v/>
      </c>
      <c r="CN18" s="130" t="str">
        <f t="shared" si="56"/>
        <v/>
      </c>
      <c r="CO18" s="130" t="str">
        <f t="shared" si="57"/>
        <v/>
      </c>
      <c r="CP18" s="130" t="str">
        <f t="shared" si="58"/>
        <v/>
      </c>
    </row>
    <row r="19" spans="1:94" s="90" customFormat="1" ht="15.95" customHeight="1" x14ac:dyDescent="0.3">
      <c r="A19" s="738"/>
      <c r="B19" s="93">
        <v>3</v>
      </c>
      <c r="C19" s="241" t="s">
        <v>344</v>
      </c>
      <c r="D19" s="384" t="s">
        <v>81</v>
      </c>
      <c r="E19" s="384" t="s">
        <v>54</v>
      </c>
      <c r="F19" s="384" t="s">
        <v>94</v>
      </c>
      <c r="G19" s="384" t="s">
        <v>75</v>
      </c>
      <c r="H19" s="384" t="s">
        <v>88</v>
      </c>
      <c r="I19" s="384" t="s">
        <v>48</v>
      </c>
      <c r="J19" s="384" t="s">
        <v>72</v>
      </c>
      <c r="K19" s="384" t="s">
        <v>86</v>
      </c>
      <c r="L19" s="384" t="s">
        <v>57</v>
      </c>
      <c r="M19" s="384" t="s">
        <v>13</v>
      </c>
      <c r="N19" s="384" t="s">
        <v>60</v>
      </c>
      <c r="O19" s="384" t="s">
        <v>59</v>
      </c>
      <c r="P19" s="384" t="s">
        <v>504</v>
      </c>
      <c r="Q19" s="384" t="s">
        <v>190</v>
      </c>
      <c r="R19" s="384" t="s">
        <v>97</v>
      </c>
      <c r="S19" s="384" t="s">
        <v>46</v>
      </c>
      <c r="T19" s="384" t="s">
        <v>63</v>
      </c>
      <c r="U19" s="384" t="s">
        <v>49</v>
      </c>
      <c r="V19" s="384" t="s">
        <v>77</v>
      </c>
      <c r="W19" s="384" t="s">
        <v>47</v>
      </c>
      <c r="X19" s="384" t="s">
        <v>80</v>
      </c>
      <c r="Y19" s="384" t="s">
        <v>68</v>
      </c>
      <c r="Z19" s="384" t="s">
        <v>69</v>
      </c>
      <c r="AA19" s="384" t="s">
        <v>236</v>
      </c>
      <c r="AB19" s="384" t="s">
        <v>93</v>
      </c>
      <c r="AC19" s="384" t="s">
        <v>62</v>
      </c>
      <c r="AD19" s="384" t="s">
        <v>96</v>
      </c>
      <c r="AE19" s="560" t="s">
        <v>90</v>
      </c>
      <c r="AF19" s="130">
        <f t="shared" si="63"/>
        <v>1</v>
      </c>
      <c r="AG19" s="130" t="str">
        <f t="shared" si="59"/>
        <v/>
      </c>
      <c r="AH19" s="130">
        <f t="shared" si="60"/>
        <v>1</v>
      </c>
      <c r="AI19" s="130">
        <f t="shared" si="61"/>
        <v>1</v>
      </c>
      <c r="AJ19" s="130">
        <f t="shared" si="62"/>
        <v>1</v>
      </c>
      <c r="AK19" s="130">
        <f t="shared" si="1"/>
        <v>1</v>
      </c>
      <c r="AL19" s="130" t="str">
        <f t="shared" si="2"/>
        <v/>
      </c>
      <c r="AM19" s="130" t="str">
        <f t="shared" si="3"/>
        <v/>
      </c>
      <c r="AN19" s="130" t="str">
        <f t="shared" si="4"/>
        <v/>
      </c>
      <c r="AO19" s="130" t="str">
        <f t="shared" si="5"/>
        <v/>
      </c>
      <c r="AP19" s="130">
        <f t="shared" si="6"/>
        <v>1</v>
      </c>
      <c r="AQ19" s="130" t="str">
        <f t="shared" si="7"/>
        <v/>
      </c>
      <c r="AR19" s="130" t="str">
        <f t="shared" si="8"/>
        <v/>
      </c>
      <c r="AS19" s="130">
        <f t="shared" si="9"/>
        <v>1</v>
      </c>
      <c r="AT19" s="130">
        <f t="shared" si="10"/>
        <v>1</v>
      </c>
      <c r="AU19" s="130" t="str">
        <f t="shared" si="11"/>
        <v/>
      </c>
      <c r="AV19" s="130">
        <f t="shared" si="12"/>
        <v>1</v>
      </c>
      <c r="AW19" s="130">
        <f t="shared" si="13"/>
        <v>1</v>
      </c>
      <c r="AX19" s="130" t="str">
        <f t="shared" si="14"/>
        <v/>
      </c>
      <c r="AY19" s="130">
        <f t="shared" si="15"/>
        <v>1</v>
      </c>
      <c r="AZ19" s="130">
        <f t="shared" si="16"/>
        <v>1</v>
      </c>
      <c r="BA19" s="130" t="str">
        <f t="shared" si="17"/>
        <v/>
      </c>
      <c r="BB19" s="130" t="str">
        <f t="shared" si="18"/>
        <v/>
      </c>
      <c r="BC19" s="130" t="str">
        <f t="shared" si="19"/>
        <v/>
      </c>
      <c r="BD19" s="130">
        <f t="shared" si="20"/>
        <v>1</v>
      </c>
      <c r="BE19" s="130">
        <f t="shared" si="21"/>
        <v>1</v>
      </c>
      <c r="BF19" s="130" t="str">
        <f t="shared" si="22"/>
        <v/>
      </c>
      <c r="BG19" s="130">
        <f t="shared" si="23"/>
        <v>1</v>
      </c>
      <c r="BH19" s="130" t="str">
        <f t="shared" si="24"/>
        <v/>
      </c>
      <c r="BI19" s="130" t="str">
        <f t="shared" si="25"/>
        <v/>
      </c>
      <c r="BJ19" s="130">
        <f t="shared" si="26"/>
        <v>1</v>
      </c>
      <c r="BK19" s="130" t="str">
        <f t="shared" si="27"/>
        <v/>
      </c>
      <c r="BL19" s="130">
        <f t="shared" si="28"/>
        <v>1</v>
      </c>
      <c r="BM19" s="130" t="str">
        <f t="shared" si="29"/>
        <v/>
      </c>
      <c r="BN19" s="130" t="str">
        <f t="shared" si="30"/>
        <v/>
      </c>
      <c r="BO19" s="130">
        <f t="shared" si="31"/>
        <v>1</v>
      </c>
      <c r="BP19" s="130">
        <f t="shared" si="32"/>
        <v>1</v>
      </c>
      <c r="BQ19" s="130" t="str">
        <f t="shared" si="33"/>
        <v/>
      </c>
      <c r="BR19" s="130" t="str">
        <f t="shared" si="34"/>
        <v/>
      </c>
      <c r="BS19" s="130" t="str">
        <f t="shared" si="35"/>
        <v/>
      </c>
      <c r="BT19" s="130">
        <f t="shared" si="36"/>
        <v>1</v>
      </c>
      <c r="BU19" s="130" t="str">
        <f t="shared" si="37"/>
        <v/>
      </c>
      <c r="BV19" s="130" t="str">
        <f t="shared" si="38"/>
        <v/>
      </c>
      <c r="BW19" s="130" t="str">
        <f t="shared" si="39"/>
        <v/>
      </c>
      <c r="BX19" s="130">
        <f t="shared" si="40"/>
        <v>1</v>
      </c>
      <c r="BY19" s="130">
        <f t="shared" si="41"/>
        <v>1</v>
      </c>
      <c r="BZ19" s="130">
        <f t="shared" si="42"/>
        <v>1</v>
      </c>
      <c r="CA19" s="130" t="str">
        <f t="shared" si="43"/>
        <v/>
      </c>
      <c r="CB19" s="130" t="str">
        <f t="shared" si="44"/>
        <v/>
      </c>
      <c r="CC19" s="130" t="str">
        <f t="shared" si="45"/>
        <v/>
      </c>
      <c r="CD19" s="130">
        <f t="shared" si="46"/>
        <v>1</v>
      </c>
      <c r="CE19" s="130">
        <f t="shared" si="47"/>
        <v>1</v>
      </c>
      <c r="CF19" s="130">
        <f t="shared" si="48"/>
        <v>1</v>
      </c>
      <c r="CG19" s="130" t="str">
        <f t="shared" si="49"/>
        <v/>
      </c>
      <c r="CH19" s="130">
        <f t="shared" si="50"/>
        <v>1</v>
      </c>
      <c r="CI19" s="130">
        <f t="shared" si="51"/>
        <v>1</v>
      </c>
      <c r="CJ19" s="130" t="str">
        <f t="shared" si="52"/>
        <v/>
      </c>
      <c r="CK19" s="130" t="str">
        <f t="shared" si="53"/>
        <v/>
      </c>
      <c r="CL19" s="130" t="str">
        <f t="shared" si="54"/>
        <v/>
      </c>
      <c r="CM19" s="130" t="str">
        <f t="shared" si="55"/>
        <v/>
      </c>
      <c r="CN19" s="130" t="str">
        <f t="shared" si="56"/>
        <v/>
      </c>
      <c r="CO19" s="130" t="str">
        <f t="shared" si="57"/>
        <v/>
      </c>
      <c r="CP19" s="130" t="str">
        <f t="shared" si="58"/>
        <v/>
      </c>
    </row>
    <row r="20" spans="1:94" s="90" customFormat="1" ht="15.95" customHeight="1" x14ac:dyDescent="0.3">
      <c r="A20" s="738"/>
      <c r="B20" s="93">
        <v>4</v>
      </c>
      <c r="C20" s="241" t="s">
        <v>345</v>
      </c>
      <c r="D20" s="384" t="s">
        <v>81</v>
      </c>
      <c r="E20" s="384" t="s">
        <v>92</v>
      </c>
      <c r="F20" s="384" t="s">
        <v>86</v>
      </c>
      <c r="G20" s="384" t="s">
        <v>94</v>
      </c>
      <c r="H20" s="384" t="s">
        <v>54</v>
      </c>
      <c r="I20" s="384" t="s">
        <v>57</v>
      </c>
      <c r="J20" s="384" t="s">
        <v>72</v>
      </c>
      <c r="K20" s="384" t="s">
        <v>96</v>
      </c>
      <c r="L20" s="384" t="s">
        <v>93</v>
      </c>
      <c r="M20" s="384" t="s">
        <v>78</v>
      </c>
      <c r="N20" s="384" t="s">
        <v>48</v>
      </c>
      <c r="O20" s="384" t="s">
        <v>63</v>
      </c>
      <c r="P20" s="384" t="s">
        <v>77</v>
      </c>
      <c r="Q20" s="384" t="s">
        <v>60</v>
      </c>
      <c r="R20" s="384" t="s">
        <v>76</v>
      </c>
      <c r="S20" s="384" t="s">
        <v>46</v>
      </c>
      <c r="T20" s="384" t="s">
        <v>68</v>
      </c>
      <c r="U20" s="384" t="s">
        <v>83</v>
      </c>
      <c r="V20" s="384" t="s">
        <v>66</v>
      </c>
      <c r="W20" s="384" t="s">
        <v>236</v>
      </c>
      <c r="X20" s="384" t="s">
        <v>55</v>
      </c>
      <c r="Y20" s="384" t="s">
        <v>88</v>
      </c>
      <c r="Z20" s="384" t="s">
        <v>69</v>
      </c>
      <c r="AA20" s="384" t="s">
        <v>62</v>
      </c>
      <c r="AB20" s="384" t="s">
        <v>47</v>
      </c>
      <c r="AC20" s="384" t="s">
        <v>189</v>
      </c>
      <c r="AD20" s="384" t="s">
        <v>80</v>
      </c>
      <c r="AE20" s="560" t="s">
        <v>90</v>
      </c>
      <c r="AF20" s="130" t="str">
        <f t="shared" si="63"/>
        <v/>
      </c>
      <c r="AG20" s="130" t="str">
        <f t="shared" si="59"/>
        <v/>
      </c>
      <c r="AH20" s="130">
        <f t="shared" si="60"/>
        <v>1</v>
      </c>
      <c r="AI20" s="130">
        <f t="shared" si="61"/>
        <v>1</v>
      </c>
      <c r="AJ20" s="130">
        <f t="shared" si="62"/>
        <v>1</v>
      </c>
      <c r="AK20" s="130" t="str">
        <f t="shared" si="1"/>
        <v/>
      </c>
      <c r="AL20" s="130" t="str">
        <f t="shared" si="2"/>
        <v/>
      </c>
      <c r="AM20" s="130" t="str">
        <f t="shared" si="3"/>
        <v/>
      </c>
      <c r="AN20" s="130" t="str">
        <f t="shared" si="4"/>
        <v/>
      </c>
      <c r="AO20" s="130" t="str">
        <f t="shared" si="5"/>
        <v/>
      </c>
      <c r="AP20" s="130">
        <f t="shared" si="6"/>
        <v>1</v>
      </c>
      <c r="AQ20" s="130">
        <f t="shared" si="7"/>
        <v>1</v>
      </c>
      <c r="AR20" s="130" t="str">
        <f t="shared" si="8"/>
        <v/>
      </c>
      <c r="AS20" s="130">
        <f t="shared" si="9"/>
        <v>1</v>
      </c>
      <c r="AT20" s="130">
        <f t="shared" si="10"/>
        <v>1</v>
      </c>
      <c r="AU20" s="130" t="str">
        <f t="shared" si="11"/>
        <v/>
      </c>
      <c r="AV20" s="130" t="str">
        <f t="shared" si="12"/>
        <v/>
      </c>
      <c r="AW20" s="130">
        <f t="shared" si="13"/>
        <v>1</v>
      </c>
      <c r="AX20" s="130" t="str">
        <f t="shared" si="14"/>
        <v/>
      </c>
      <c r="AY20" s="130">
        <f t="shared" si="15"/>
        <v>1</v>
      </c>
      <c r="AZ20" s="130">
        <f t="shared" si="16"/>
        <v>1</v>
      </c>
      <c r="BA20" s="130" t="str">
        <f t="shared" si="17"/>
        <v/>
      </c>
      <c r="BB20" s="130">
        <f t="shared" si="18"/>
        <v>1</v>
      </c>
      <c r="BC20" s="130" t="str">
        <f t="shared" si="19"/>
        <v/>
      </c>
      <c r="BD20" s="130">
        <f t="shared" si="20"/>
        <v>1</v>
      </c>
      <c r="BE20" s="130">
        <f t="shared" si="21"/>
        <v>1</v>
      </c>
      <c r="BF20" s="130" t="str">
        <f t="shared" si="22"/>
        <v/>
      </c>
      <c r="BG20" s="130">
        <f t="shared" si="23"/>
        <v>1</v>
      </c>
      <c r="BH20" s="130" t="str">
        <f t="shared" si="24"/>
        <v/>
      </c>
      <c r="BI20" s="130" t="str">
        <f t="shared" si="25"/>
        <v/>
      </c>
      <c r="BJ20" s="130" t="str">
        <f t="shared" si="26"/>
        <v/>
      </c>
      <c r="BK20" s="130">
        <f t="shared" si="27"/>
        <v>1</v>
      </c>
      <c r="BL20" s="130">
        <f t="shared" si="28"/>
        <v>1</v>
      </c>
      <c r="BM20" s="130">
        <f t="shared" si="29"/>
        <v>1</v>
      </c>
      <c r="BN20" s="130" t="str">
        <f t="shared" si="30"/>
        <v/>
      </c>
      <c r="BO20" s="130">
        <f t="shared" si="31"/>
        <v>1</v>
      </c>
      <c r="BP20" s="130">
        <f t="shared" si="32"/>
        <v>1</v>
      </c>
      <c r="BQ20" s="130">
        <f t="shared" si="33"/>
        <v>1</v>
      </c>
      <c r="BR20" s="130" t="str">
        <f t="shared" si="34"/>
        <v/>
      </c>
      <c r="BS20" s="130" t="str">
        <f t="shared" si="35"/>
        <v/>
      </c>
      <c r="BT20" s="130">
        <f t="shared" si="36"/>
        <v>1</v>
      </c>
      <c r="BU20" s="130" t="str">
        <f t="shared" si="37"/>
        <v/>
      </c>
      <c r="BV20" s="130">
        <f t="shared" si="38"/>
        <v>1</v>
      </c>
      <c r="BW20" s="130" t="str">
        <f t="shared" si="39"/>
        <v/>
      </c>
      <c r="BX20" s="130">
        <f t="shared" si="40"/>
        <v>1</v>
      </c>
      <c r="BY20" s="130" t="str">
        <f t="shared" si="41"/>
        <v/>
      </c>
      <c r="BZ20" s="130">
        <f t="shared" si="42"/>
        <v>1</v>
      </c>
      <c r="CA20" s="130" t="str">
        <f t="shared" si="43"/>
        <v/>
      </c>
      <c r="CB20" s="130">
        <f t="shared" si="44"/>
        <v>1</v>
      </c>
      <c r="CC20" s="130" t="str">
        <f t="shared" si="45"/>
        <v/>
      </c>
      <c r="CD20" s="130">
        <f t="shared" si="46"/>
        <v>1</v>
      </c>
      <c r="CE20" s="130" t="str">
        <f t="shared" si="47"/>
        <v/>
      </c>
      <c r="CF20" s="130">
        <f t="shared" si="48"/>
        <v>1</v>
      </c>
      <c r="CG20" s="130" t="str">
        <f t="shared" si="49"/>
        <v/>
      </c>
      <c r="CH20" s="130">
        <f t="shared" si="50"/>
        <v>1</v>
      </c>
      <c r="CI20" s="130" t="str">
        <f t="shared" si="51"/>
        <v/>
      </c>
      <c r="CJ20" s="130" t="str">
        <f t="shared" si="52"/>
        <v/>
      </c>
      <c r="CK20" s="130" t="str">
        <f t="shared" si="53"/>
        <v/>
      </c>
      <c r="CL20" s="130" t="str">
        <f t="shared" si="54"/>
        <v/>
      </c>
      <c r="CM20" s="130" t="str">
        <f t="shared" si="55"/>
        <v/>
      </c>
      <c r="CN20" s="130" t="str">
        <f t="shared" si="56"/>
        <v/>
      </c>
      <c r="CO20" s="130" t="str">
        <f t="shared" si="57"/>
        <v/>
      </c>
      <c r="CP20" s="130" t="str">
        <f t="shared" si="58"/>
        <v/>
      </c>
    </row>
    <row r="21" spans="1:94" s="90" customFormat="1" ht="15.95" customHeight="1" x14ac:dyDescent="0.3">
      <c r="A21" s="739"/>
      <c r="B21" s="94">
        <v>5</v>
      </c>
      <c r="C21" s="242" t="s">
        <v>346</v>
      </c>
      <c r="D21" s="385" t="s">
        <v>81</v>
      </c>
      <c r="E21" s="385" t="s">
        <v>92</v>
      </c>
      <c r="F21" s="385" t="s">
        <v>54</v>
      </c>
      <c r="G21" s="385" t="s">
        <v>75</v>
      </c>
      <c r="H21" s="385" t="s">
        <v>77</v>
      </c>
      <c r="I21" s="385" t="s">
        <v>57</v>
      </c>
      <c r="J21" s="385" t="s">
        <v>86</v>
      </c>
      <c r="K21" s="385" t="s">
        <v>63</v>
      </c>
      <c r="L21" s="385" t="s">
        <v>83</v>
      </c>
      <c r="M21" s="385" t="s">
        <v>78</v>
      </c>
      <c r="N21" s="385" t="s">
        <v>60</v>
      </c>
      <c r="O21" s="385" t="s">
        <v>13</v>
      </c>
      <c r="P21" s="385" t="s">
        <v>48</v>
      </c>
      <c r="Q21" s="385" t="s">
        <v>55</v>
      </c>
      <c r="R21" s="385" t="s">
        <v>76</v>
      </c>
      <c r="S21" s="385" t="s">
        <v>504</v>
      </c>
      <c r="T21" s="385" t="s">
        <v>68</v>
      </c>
      <c r="U21" s="385" t="s">
        <v>97</v>
      </c>
      <c r="V21" s="385" t="s">
        <v>66</v>
      </c>
      <c r="W21" s="385" t="s">
        <v>69</v>
      </c>
      <c r="X21" s="385" t="s">
        <v>93</v>
      </c>
      <c r="Y21" s="385" t="s">
        <v>236</v>
      </c>
      <c r="Z21" s="385" t="s">
        <v>46</v>
      </c>
      <c r="AA21" s="385" t="s">
        <v>62</v>
      </c>
      <c r="AB21" s="385" t="s">
        <v>47</v>
      </c>
      <c r="AC21" s="385" t="s">
        <v>189</v>
      </c>
      <c r="AD21" s="385" t="s">
        <v>80</v>
      </c>
      <c r="AE21" s="561" t="s">
        <v>190</v>
      </c>
      <c r="AF21" s="130">
        <f t="shared" si="63"/>
        <v>1</v>
      </c>
      <c r="AG21" s="130" t="str">
        <f t="shared" si="59"/>
        <v/>
      </c>
      <c r="AH21" s="130">
        <f t="shared" si="60"/>
        <v>1</v>
      </c>
      <c r="AI21" s="130">
        <f t="shared" si="61"/>
        <v>1</v>
      </c>
      <c r="AJ21" s="130">
        <f t="shared" si="62"/>
        <v>1</v>
      </c>
      <c r="AK21" s="130" t="str">
        <f t="shared" si="1"/>
        <v/>
      </c>
      <c r="AL21" s="130" t="str">
        <f t="shared" si="2"/>
        <v/>
      </c>
      <c r="AM21" s="130" t="str">
        <f t="shared" si="3"/>
        <v/>
      </c>
      <c r="AN21" s="130" t="str">
        <f t="shared" si="4"/>
        <v/>
      </c>
      <c r="AO21" s="130" t="str">
        <f t="shared" si="5"/>
        <v/>
      </c>
      <c r="AP21" s="130">
        <f t="shared" si="6"/>
        <v>1</v>
      </c>
      <c r="AQ21" s="130">
        <f t="shared" si="7"/>
        <v>1</v>
      </c>
      <c r="AR21" s="130" t="str">
        <f t="shared" si="8"/>
        <v/>
      </c>
      <c r="AS21" s="130">
        <f t="shared" si="9"/>
        <v>1</v>
      </c>
      <c r="AT21" s="130">
        <f t="shared" si="10"/>
        <v>1</v>
      </c>
      <c r="AU21" s="130" t="str">
        <f t="shared" si="11"/>
        <v/>
      </c>
      <c r="AV21" s="130" t="str">
        <f t="shared" si="12"/>
        <v/>
      </c>
      <c r="AW21" s="130">
        <f t="shared" si="13"/>
        <v>1</v>
      </c>
      <c r="AX21" s="130" t="str">
        <f t="shared" si="14"/>
        <v/>
      </c>
      <c r="AY21" s="130">
        <f t="shared" si="15"/>
        <v>1</v>
      </c>
      <c r="AZ21" s="130">
        <f t="shared" si="16"/>
        <v>1</v>
      </c>
      <c r="BA21" s="130" t="str">
        <f t="shared" si="17"/>
        <v/>
      </c>
      <c r="BB21" s="130">
        <f t="shared" si="18"/>
        <v>1</v>
      </c>
      <c r="BC21" s="130" t="str">
        <f t="shared" si="19"/>
        <v/>
      </c>
      <c r="BD21" s="130">
        <f t="shared" si="20"/>
        <v>1</v>
      </c>
      <c r="BE21" s="130">
        <f t="shared" si="21"/>
        <v>1</v>
      </c>
      <c r="BF21" s="130" t="str">
        <f t="shared" si="22"/>
        <v/>
      </c>
      <c r="BG21" s="130" t="str">
        <f t="shared" si="23"/>
        <v/>
      </c>
      <c r="BH21" s="130" t="str">
        <f t="shared" si="24"/>
        <v/>
      </c>
      <c r="BI21" s="130" t="str">
        <f t="shared" si="25"/>
        <v/>
      </c>
      <c r="BJ21" s="130">
        <f t="shared" si="26"/>
        <v>1</v>
      </c>
      <c r="BK21" s="130">
        <f t="shared" si="27"/>
        <v>1</v>
      </c>
      <c r="BL21" s="130">
        <f t="shared" si="28"/>
        <v>1</v>
      </c>
      <c r="BM21" s="130">
        <f t="shared" si="29"/>
        <v>1</v>
      </c>
      <c r="BN21" s="130" t="str">
        <f t="shared" si="30"/>
        <v/>
      </c>
      <c r="BO21" s="130">
        <f t="shared" si="31"/>
        <v>1</v>
      </c>
      <c r="BP21" s="130">
        <f t="shared" si="32"/>
        <v>1</v>
      </c>
      <c r="BQ21" s="130">
        <f t="shared" si="33"/>
        <v>1</v>
      </c>
      <c r="BR21" s="130" t="str">
        <f t="shared" si="34"/>
        <v/>
      </c>
      <c r="BS21" s="130" t="str">
        <f t="shared" si="35"/>
        <v/>
      </c>
      <c r="BT21" s="130" t="str">
        <f t="shared" si="36"/>
        <v/>
      </c>
      <c r="BU21" s="130" t="str">
        <f t="shared" si="37"/>
        <v/>
      </c>
      <c r="BV21" s="130">
        <f t="shared" si="38"/>
        <v>1</v>
      </c>
      <c r="BW21" s="130" t="str">
        <f t="shared" si="39"/>
        <v/>
      </c>
      <c r="BX21" s="130">
        <f t="shared" si="40"/>
        <v>1</v>
      </c>
      <c r="BY21" s="130">
        <f t="shared" si="41"/>
        <v>1</v>
      </c>
      <c r="BZ21" s="130" t="str">
        <f t="shared" si="42"/>
        <v/>
      </c>
      <c r="CA21" s="130" t="str">
        <f t="shared" si="43"/>
        <v/>
      </c>
      <c r="CB21" s="130">
        <f t="shared" si="44"/>
        <v>1</v>
      </c>
      <c r="CC21" s="130" t="str">
        <f t="shared" si="45"/>
        <v/>
      </c>
      <c r="CD21" s="130">
        <f t="shared" si="46"/>
        <v>1</v>
      </c>
      <c r="CE21" s="130">
        <f t="shared" si="47"/>
        <v>1</v>
      </c>
      <c r="CF21" s="130" t="str">
        <f t="shared" si="48"/>
        <v/>
      </c>
      <c r="CG21" s="130" t="str">
        <f t="shared" si="49"/>
        <v/>
      </c>
      <c r="CH21" s="130" t="str">
        <f t="shared" si="50"/>
        <v/>
      </c>
      <c r="CI21" s="130">
        <f t="shared" si="51"/>
        <v>1</v>
      </c>
      <c r="CJ21" s="130" t="str">
        <f t="shared" si="52"/>
        <v/>
      </c>
      <c r="CK21" s="130" t="str">
        <f t="shared" si="53"/>
        <v/>
      </c>
      <c r="CL21" s="130" t="str">
        <f t="shared" si="54"/>
        <v/>
      </c>
      <c r="CM21" s="130" t="str">
        <f t="shared" si="55"/>
        <v/>
      </c>
      <c r="CN21" s="130" t="str">
        <f t="shared" si="56"/>
        <v/>
      </c>
      <c r="CO21" s="130" t="str">
        <f t="shared" si="57"/>
        <v/>
      </c>
      <c r="CP21" s="130" t="str">
        <f t="shared" si="58"/>
        <v/>
      </c>
    </row>
    <row r="22" spans="1:94" s="95" customFormat="1" ht="15.95" customHeight="1" x14ac:dyDescent="0.3">
      <c r="A22" s="740">
        <v>5</v>
      </c>
      <c r="B22" s="324">
        <v>1</v>
      </c>
      <c r="C22" s="321" t="s">
        <v>301</v>
      </c>
      <c r="D22" s="540" t="s">
        <v>86</v>
      </c>
      <c r="E22" s="540" t="s">
        <v>54</v>
      </c>
      <c r="F22" s="540" t="s">
        <v>92</v>
      </c>
      <c r="G22" s="540" t="s">
        <v>50</v>
      </c>
      <c r="H22" s="540" t="s">
        <v>94</v>
      </c>
      <c r="I22" s="540" t="s">
        <v>504</v>
      </c>
      <c r="J22" s="540" t="s">
        <v>67</v>
      </c>
      <c r="K22" s="540" t="s">
        <v>96</v>
      </c>
      <c r="L22" s="540" t="s">
        <v>57</v>
      </c>
      <c r="M22" s="540" t="s">
        <v>63</v>
      </c>
      <c r="N22" s="540" t="s">
        <v>220</v>
      </c>
      <c r="O22" s="540" t="s">
        <v>95</v>
      </c>
      <c r="P22" s="540" t="s">
        <v>48</v>
      </c>
      <c r="Q22" s="540" t="s">
        <v>55</v>
      </c>
      <c r="R22" s="540" t="s">
        <v>73</v>
      </c>
      <c r="S22" s="540" t="s">
        <v>64</v>
      </c>
      <c r="T22" s="540" t="s">
        <v>53</v>
      </c>
      <c r="U22" s="540" t="s">
        <v>76</v>
      </c>
      <c r="V22" s="540" t="s">
        <v>49</v>
      </c>
      <c r="W22" s="540" t="s">
        <v>83</v>
      </c>
      <c r="X22" s="540" t="s">
        <v>61</v>
      </c>
      <c r="Y22" s="540" t="s">
        <v>77</v>
      </c>
      <c r="Z22" s="540" t="s">
        <v>58</v>
      </c>
      <c r="AA22" s="540" t="s">
        <v>80</v>
      </c>
      <c r="AB22" s="540" t="s">
        <v>93</v>
      </c>
      <c r="AC22" s="540" t="s">
        <v>236</v>
      </c>
      <c r="AD22" s="540" t="s">
        <v>88</v>
      </c>
      <c r="AE22" s="562" t="s">
        <v>85</v>
      </c>
      <c r="AF22" s="131" t="str">
        <f t="shared" si="63"/>
        <v/>
      </c>
      <c r="AG22" s="131" t="str">
        <f t="shared" si="59"/>
        <v/>
      </c>
      <c r="AH22" s="131" t="str">
        <f t="shared" si="60"/>
        <v/>
      </c>
      <c r="AI22" s="131" t="str">
        <f t="shared" si="61"/>
        <v/>
      </c>
      <c r="AJ22" s="131">
        <f t="shared" si="62"/>
        <v>1</v>
      </c>
      <c r="AK22" s="131">
        <f t="shared" si="1"/>
        <v>1</v>
      </c>
      <c r="AL22" s="131">
        <f t="shared" si="2"/>
        <v>1</v>
      </c>
      <c r="AM22" s="131" t="str">
        <f t="shared" si="3"/>
        <v/>
      </c>
      <c r="AN22" s="131" t="str">
        <f t="shared" si="4"/>
        <v/>
      </c>
      <c r="AO22" s="131">
        <f t="shared" si="5"/>
        <v>1</v>
      </c>
      <c r="AP22" s="131">
        <f t="shared" si="6"/>
        <v>1</v>
      </c>
      <c r="AQ22" s="131">
        <f t="shared" si="7"/>
        <v>1</v>
      </c>
      <c r="AR22" s="131" t="str">
        <f t="shared" si="8"/>
        <v/>
      </c>
      <c r="AS22" s="131">
        <f t="shared" si="9"/>
        <v>1</v>
      </c>
      <c r="AT22" s="131">
        <f t="shared" si="10"/>
        <v>1</v>
      </c>
      <c r="AU22" s="131">
        <f t="shared" si="11"/>
        <v>1</v>
      </c>
      <c r="AV22" s="131" t="str">
        <f t="shared" si="12"/>
        <v/>
      </c>
      <c r="AW22" s="131" t="str">
        <f t="shared" si="13"/>
        <v/>
      </c>
      <c r="AX22" s="131">
        <f t="shared" si="14"/>
        <v>1</v>
      </c>
      <c r="AY22" s="131" t="str">
        <f t="shared" si="15"/>
        <v/>
      </c>
      <c r="AZ22" s="131">
        <f t="shared" si="16"/>
        <v>1</v>
      </c>
      <c r="BA22" s="131">
        <f t="shared" si="17"/>
        <v>1</v>
      </c>
      <c r="BB22" s="131" t="str">
        <f t="shared" si="18"/>
        <v/>
      </c>
      <c r="BC22" s="131">
        <f t="shared" si="19"/>
        <v>1</v>
      </c>
      <c r="BD22" s="131" t="str">
        <f t="shared" si="20"/>
        <v/>
      </c>
      <c r="BE22" s="131" t="str">
        <f t="shared" si="21"/>
        <v/>
      </c>
      <c r="BF22" s="131" t="str">
        <f t="shared" si="22"/>
        <v/>
      </c>
      <c r="BG22" s="131" t="str">
        <f t="shared" si="23"/>
        <v/>
      </c>
      <c r="BH22" s="131">
        <f t="shared" si="24"/>
        <v>1</v>
      </c>
      <c r="BI22" s="131" t="str">
        <f t="shared" si="25"/>
        <v/>
      </c>
      <c r="BJ22" s="131" t="str">
        <f t="shared" si="26"/>
        <v/>
      </c>
      <c r="BK22" s="131">
        <f t="shared" si="27"/>
        <v>1</v>
      </c>
      <c r="BL22" s="131">
        <f t="shared" si="28"/>
        <v>1</v>
      </c>
      <c r="BM22" s="131" t="str">
        <f t="shared" si="29"/>
        <v/>
      </c>
      <c r="BN22" s="131" t="str">
        <f t="shared" si="30"/>
        <v/>
      </c>
      <c r="BO22" s="131">
        <f t="shared" si="31"/>
        <v>1</v>
      </c>
      <c r="BP22" s="131" t="str">
        <f t="shared" si="32"/>
        <v/>
      </c>
      <c r="BQ22" s="131" t="str">
        <f t="shared" si="33"/>
        <v/>
      </c>
      <c r="BR22" s="131" t="str">
        <f t="shared" si="34"/>
        <v/>
      </c>
      <c r="BS22" s="131" t="str">
        <f t="shared" si="35"/>
        <v/>
      </c>
      <c r="BT22" s="131">
        <f t="shared" si="36"/>
        <v>1</v>
      </c>
      <c r="BU22" s="131" t="str">
        <f t="shared" si="37"/>
        <v/>
      </c>
      <c r="BV22" s="131">
        <f t="shared" si="38"/>
        <v>1</v>
      </c>
      <c r="BW22" s="131">
        <f t="shared" si="39"/>
        <v>1</v>
      </c>
      <c r="BX22" s="131">
        <f t="shared" si="40"/>
        <v>1</v>
      </c>
      <c r="BY22" s="131">
        <f t="shared" si="41"/>
        <v>1</v>
      </c>
      <c r="BZ22" s="131" t="str">
        <f t="shared" si="42"/>
        <v/>
      </c>
      <c r="CA22" s="131" t="str">
        <f t="shared" si="43"/>
        <v/>
      </c>
      <c r="CB22" s="131">
        <f t="shared" si="44"/>
        <v>1</v>
      </c>
      <c r="CC22" s="131">
        <f t="shared" si="45"/>
        <v>1</v>
      </c>
      <c r="CD22" s="131">
        <f t="shared" si="46"/>
        <v>1</v>
      </c>
      <c r="CE22" s="131" t="str">
        <f t="shared" si="47"/>
        <v/>
      </c>
      <c r="CF22" s="131">
        <f t="shared" si="48"/>
        <v>1</v>
      </c>
      <c r="CG22" s="131">
        <f t="shared" si="49"/>
        <v>1</v>
      </c>
      <c r="CH22" s="131">
        <f t="shared" si="50"/>
        <v>1</v>
      </c>
      <c r="CI22" s="131" t="str">
        <f t="shared" si="51"/>
        <v/>
      </c>
      <c r="CJ22" s="131" t="str">
        <f t="shared" si="52"/>
        <v/>
      </c>
      <c r="CK22" s="131" t="str">
        <f t="shared" si="53"/>
        <v/>
      </c>
      <c r="CL22" s="131" t="str">
        <f t="shared" si="54"/>
        <v/>
      </c>
      <c r="CM22" s="131" t="str">
        <f t="shared" si="55"/>
        <v/>
      </c>
      <c r="CN22" s="131" t="str">
        <f t="shared" si="56"/>
        <v/>
      </c>
      <c r="CO22" s="131" t="str">
        <f t="shared" si="57"/>
        <v/>
      </c>
      <c r="CP22" s="131" t="str">
        <f t="shared" si="58"/>
        <v/>
      </c>
    </row>
    <row r="23" spans="1:94" s="95" customFormat="1" ht="15.95" customHeight="1" x14ac:dyDescent="0.3">
      <c r="A23" s="741"/>
      <c r="B23" s="325">
        <v>2</v>
      </c>
      <c r="C23" s="322" t="s">
        <v>303</v>
      </c>
      <c r="D23" s="541" t="s">
        <v>95</v>
      </c>
      <c r="E23" s="541" t="s">
        <v>54</v>
      </c>
      <c r="F23" s="541" t="s">
        <v>92</v>
      </c>
      <c r="G23" s="541" t="s">
        <v>94</v>
      </c>
      <c r="H23" s="541" t="s">
        <v>58</v>
      </c>
      <c r="I23" s="541" t="s">
        <v>57</v>
      </c>
      <c r="J23" s="541" t="s">
        <v>50</v>
      </c>
      <c r="K23" s="541" t="s">
        <v>63</v>
      </c>
      <c r="L23" s="541" t="s">
        <v>53</v>
      </c>
      <c r="M23" s="541" t="s">
        <v>426</v>
      </c>
      <c r="N23" s="541" t="s">
        <v>220</v>
      </c>
      <c r="O23" s="541" t="s">
        <v>504</v>
      </c>
      <c r="P23" s="541" t="s">
        <v>48</v>
      </c>
      <c r="Q23" s="541" t="s">
        <v>67</v>
      </c>
      <c r="R23" s="541" t="s">
        <v>73</v>
      </c>
      <c r="S23" s="541" t="s">
        <v>64</v>
      </c>
      <c r="T23" s="541" t="s">
        <v>83</v>
      </c>
      <c r="U23" s="541" t="s">
        <v>76</v>
      </c>
      <c r="V23" s="541" t="s">
        <v>85</v>
      </c>
      <c r="W23" s="541" t="s">
        <v>77</v>
      </c>
      <c r="X23" s="541" t="s">
        <v>55</v>
      </c>
      <c r="Y23" s="541" t="s">
        <v>88</v>
      </c>
      <c r="Z23" s="541" t="s">
        <v>86</v>
      </c>
      <c r="AA23" s="541" t="s">
        <v>80</v>
      </c>
      <c r="AB23" s="541" t="s">
        <v>61</v>
      </c>
      <c r="AC23" s="541" t="s">
        <v>49</v>
      </c>
      <c r="AD23" s="541" t="s">
        <v>236</v>
      </c>
      <c r="AE23" s="563" t="s">
        <v>62</v>
      </c>
      <c r="AF23" s="131" t="str">
        <f t="shared" si="63"/>
        <v/>
      </c>
      <c r="AG23" s="131" t="str">
        <f t="shared" si="59"/>
        <v/>
      </c>
      <c r="AH23" s="131" t="str">
        <f t="shared" si="60"/>
        <v/>
      </c>
      <c r="AI23" s="131" t="str">
        <f t="shared" si="61"/>
        <v/>
      </c>
      <c r="AJ23" s="131">
        <f t="shared" si="62"/>
        <v>1</v>
      </c>
      <c r="AK23" s="131">
        <f t="shared" si="1"/>
        <v>1</v>
      </c>
      <c r="AL23" s="131">
        <f t="shared" si="2"/>
        <v>1</v>
      </c>
      <c r="AM23" s="131" t="str">
        <f t="shared" si="3"/>
        <v/>
      </c>
      <c r="AN23" s="131" t="str">
        <f t="shared" si="4"/>
        <v/>
      </c>
      <c r="AO23" s="131">
        <f t="shared" si="5"/>
        <v>1</v>
      </c>
      <c r="AP23" s="131">
        <f t="shared" si="6"/>
        <v>1</v>
      </c>
      <c r="AQ23" s="131">
        <f t="shared" si="7"/>
        <v>1</v>
      </c>
      <c r="AR23" s="131" t="str">
        <f t="shared" si="8"/>
        <v/>
      </c>
      <c r="AS23" s="131">
        <f t="shared" si="9"/>
        <v>1</v>
      </c>
      <c r="AT23" s="131">
        <f t="shared" si="10"/>
        <v>1</v>
      </c>
      <c r="AU23" s="131">
        <f t="shared" si="11"/>
        <v>1</v>
      </c>
      <c r="AV23" s="131" t="str">
        <f t="shared" si="12"/>
        <v/>
      </c>
      <c r="AW23" s="131" t="str">
        <f t="shared" si="13"/>
        <v/>
      </c>
      <c r="AX23" s="131">
        <f t="shared" si="14"/>
        <v>1</v>
      </c>
      <c r="AY23" s="131">
        <f t="shared" si="15"/>
        <v>1</v>
      </c>
      <c r="AZ23" s="131">
        <f t="shared" si="16"/>
        <v>1</v>
      </c>
      <c r="BA23" s="131">
        <f t="shared" si="17"/>
        <v>1</v>
      </c>
      <c r="BB23" s="131" t="str">
        <f t="shared" si="18"/>
        <v/>
      </c>
      <c r="BC23" s="131">
        <f t="shared" si="19"/>
        <v>1</v>
      </c>
      <c r="BD23" s="131" t="str">
        <f t="shared" si="20"/>
        <v/>
      </c>
      <c r="BE23" s="131" t="str">
        <f t="shared" si="21"/>
        <v/>
      </c>
      <c r="BF23" s="131" t="str">
        <f t="shared" si="22"/>
        <v/>
      </c>
      <c r="BG23" s="131" t="str">
        <f t="shared" si="23"/>
        <v/>
      </c>
      <c r="BH23" s="131">
        <f t="shared" si="24"/>
        <v>1</v>
      </c>
      <c r="BI23" s="131" t="str">
        <f t="shared" si="25"/>
        <v/>
      </c>
      <c r="BJ23" s="131" t="str">
        <f t="shared" si="26"/>
        <v/>
      </c>
      <c r="BK23" s="131">
        <f t="shared" si="27"/>
        <v>1</v>
      </c>
      <c r="BL23" s="131">
        <f t="shared" si="28"/>
        <v>1</v>
      </c>
      <c r="BM23" s="131" t="str">
        <f t="shared" si="29"/>
        <v/>
      </c>
      <c r="BN23" s="131" t="str">
        <f t="shared" si="30"/>
        <v/>
      </c>
      <c r="BO23" s="131">
        <f t="shared" si="31"/>
        <v>1</v>
      </c>
      <c r="BP23" s="131" t="str">
        <f t="shared" si="32"/>
        <v/>
      </c>
      <c r="BQ23" s="131" t="str">
        <f t="shared" si="33"/>
        <v/>
      </c>
      <c r="BR23" s="131" t="str">
        <f t="shared" si="34"/>
        <v/>
      </c>
      <c r="BS23" s="131" t="str">
        <f t="shared" si="35"/>
        <v/>
      </c>
      <c r="BT23" s="131">
        <f t="shared" si="36"/>
        <v>1</v>
      </c>
      <c r="BU23" s="131">
        <f t="shared" si="37"/>
        <v>1</v>
      </c>
      <c r="BV23" s="131">
        <f t="shared" si="38"/>
        <v>1</v>
      </c>
      <c r="BW23" s="131">
        <f t="shared" si="39"/>
        <v>1</v>
      </c>
      <c r="BX23" s="131">
        <f t="shared" si="40"/>
        <v>1</v>
      </c>
      <c r="BY23" s="131">
        <f t="shared" si="41"/>
        <v>1</v>
      </c>
      <c r="BZ23" s="131" t="str">
        <f t="shared" si="42"/>
        <v/>
      </c>
      <c r="CA23" s="131" t="str">
        <f t="shared" si="43"/>
        <v/>
      </c>
      <c r="CB23" s="131">
        <f t="shared" si="44"/>
        <v>1</v>
      </c>
      <c r="CC23" s="131">
        <f t="shared" si="45"/>
        <v>1</v>
      </c>
      <c r="CD23" s="131" t="str">
        <f t="shared" si="46"/>
        <v/>
      </c>
      <c r="CE23" s="131" t="str">
        <f t="shared" si="47"/>
        <v/>
      </c>
      <c r="CF23" s="131">
        <f t="shared" si="48"/>
        <v>1</v>
      </c>
      <c r="CG23" s="131">
        <f t="shared" si="49"/>
        <v>1</v>
      </c>
      <c r="CH23" s="131" t="str">
        <f t="shared" si="50"/>
        <v/>
      </c>
      <c r="CI23" s="131" t="str">
        <f t="shared" si="51"/>
        <v/>
      </c>
      <c r="CJ23" s="131" t="str">
        <f t="shared" si="52"/>
        <v/>
      </c>
      <c r="CK23" s="131" t="str">
        <f t="shared" si="53"/>
        <v/>
      </c>
      <c r="CL23" s="131" t="str">
        <f t="shared" si="54"/>
        <v/>
      </c>
      <c r="CM23" s="131" t="str">
        <f t="shared" si="55"/>
        <v/>
      </c>
      <c r="CN23" s="131" t="str">
        <f t="shared" si="56"/>
        <v/>
      </c>
      <c r="CO23" s="131" t="str">
        <f t="shared" si="57"/>
        <v/>
      </c>
      <c r="CP23" s="131" t="str">
        <f t="shared" si="58"/>
        <v/>
      </c>
    </row>
    <row r="24" spans="1:94" s="95" customFormat="1" ht="15.95" customHeight="1" x14ac:dyDescent="0.3">
      <c r="A24" s="741"/>
      <c r="B24" s="325">
        <v>3</v>
      </c>
      <c r="C24" s="322" t="s">
        <v>344</v>
      </c>
      <c r="D24" s="541" t="s">
        <v>72</v>
      </c>
      <c r="E24" s="541" t="s">
        <v>95</v>
      </c>
      <c r="F24" s="541" t="s">
        <v>58</v>
      </c>
      <c r="G24" s="541" t="s">
        <v>504</v>
      </c>
      <c r="H24" s="541" t="s">
        <v>77</v>
      </c>
      <c r="I24" s="541" t="s">
        <v>96</v>
      </c>
      <c r="J24" s="541" t="s">
        <v>50</v>
      </c>
      <c r="K24" s="541" t="s">
        <v>64</v>
      </c>
      <c r="L24" s="541" t="s">
        <v>83</v>
      </c>
      <c r="M24" s="541" t="s">
        <v>93</v>
      </c>
      <c r="N24" s="541" t="s">
        <v>48</v>
      </c>
      <c r="O24" s="541" t="s">
        <v>92</v>
      </c>
      <c r="P24" s="541" t="s">
        <v>426</v>
      </c>
      <c r="Q24" s="541" t="s">
        <v>67</v>
      </c>
      <c r="R24" s="541" t="s">
        <v>85</v>
      </c>
      <c r="S24" s="541" t="s">
        <v>94</v>
      </c>
      <c r="T24" s="541" t="s">
        <v>80</v>
      </c>
      <c r="U24" s="541" t="s">
        <v>49</v>
      </c>
      <c r="V24" s="541" t="s">
        <v>73</v>
      </c>
      <c r="W24" s="541" t="s">
        <v>236</v>
      </c>
      <c r="X24" s="541" t="s">
        <v>55</v>
      </c>
      <c r="Y24" s="541" t="s">
        <v>86</v>
      </c>
      <c r="Z24" s="541" t="s">
        <v>76</v>
      </c>
      <c r="AA24" s="541" t="s">
        <v>45</v>
      </c>
      <c r="AB24" s="541" t="s">
        <v>61</v>
      </c>
      <c r="AC24" s="541" t="s">
        <v>62</v>
      </c>
      <c r="AD24" s="541" t="s">
        <v>220</v>
      </c>
      <c r="AE24" s="563" t="s">
        <v>88</v>
      </c>
      <c r="AF24" s="131" t="str">
        <f t="shared" si="63"/>
        <v/>
      </c>
      <c r="AG24" s="131">
        <f t="shared" si="59"/>
        <v>1</v>
      </c>
      <c r="AH24" s="131" t="str">
        <f t="shared" si="60"/>
        <v/>
      </c>
      <c r="AI24" s="131" t="str">
        <f t="shared" si="61"/>
        <v/>
      </c>
      <c r="AJ24" s="131">
        <f t="shared" si="62"/>
        <v>1</v>
      </c>
      <c r="AK24" s="131">
        <f t="shared" si="1"/>
        <v>1</v>
      </c>
      <c r="AL24" s="131">
        <f t="shared" si="2"/>
        <v>1</v>
      </c>
      <c r="AM24" s="131" t="str">
        <f t="shared" si="3"/>
        <v/>
      </c>
      <c r="AN24" s="131" t="str">
        <f t="shared" si="4"/>
        <v/>
      </c>
      <c r="AO24" s="131" t="str">
        <f t="shared" si="5"/>
        <v/>
      </c>
      <c r="AP24" s="131" t="str">
        <f t="shared" si="6"/>
        <v/>
      </c>
      <c r="AQ24" s="131">
        <f t="shared" si="7"/>
        <v>1</v>
      </c>
      <c r="AR24" s="131" t="str">
        <f t="shared" si="8"/>
        <v/>
      </c>
      <c r="AS24" s="131">
        <f t="shared" si="9"/>
        <v>1</v>
      </c>
      <c r="AT24" s="131" t="str">
        <f t="shared" si="10"/>
        <v/>
      </c>
      <c r="AU24" s="131">
        <f t="shared" si="11"/>
        <v>1</v>
      </c>
      <c r="AV24" s="131" t="str">
        <f t="shared" si="12"/>
        <v/>
      </c>
      <c r="AW24" s="131" t="str">
        <f t="shared" si="13"/>
        <v/>
      </c>
      <c r="AX24" s="131">
        <f t="shared" si="14"/>
        <v>1</v>
      </c>
      <c r="AY24" s="131">
        <f t="shared" si="15"/>
        <v>1</v>
      </c>
      <c r="AZ24" s="131" t="str">
        <f t="shared" si="16"/>
        <v/>
      </c>
      <c r="BA24" s="131">
        <f t="shared" si="17"/>
        <v>1</v>
      </c>
      <c r="BB24" s="131" t="str">
        <f t="shared" si="18"/>
        <v/>
      </c>
      <c r="BC24" s="131">
        <f t="shared" si="19"/>
        <v>1</v>
      </c>
      <c r="BD24" s="131" t="str">
        <f t="shared" si="20"/>
        <v/>
      </c>
      <c r="BE24" s="131" t="str">
        <f t="shared" si="21"/>
        <v/>
      </c>
      <c r="BF24" s="131" t="str">
        <f t="shared" si="22"/>
        <v/>
      </c>
      <c r="BG24" s="131">
        <f t="shared" si="23"/>
        <v>1</v>
      </c>
      <c r="BH24" s="131">
        <f t="shared" si="24"/>
        <v>1</v>
      </c>
      <c r="BI24" s="131" t="str">
        <f t="shared" si="25"/>
        <v/>
      </c>
      <c r="BJ24" s="131" t="str">
        <f t="shared" si="26"/>
        <v/>
      </c>
      <c r="BK24" s="131">
        <f t="shared" si="27"/>
        <v>1</v>
      </c>
      <c r="BL24" s="131">
        <f t="shared" si="28"/>
        <v>1</v>
      </c>
      <c r="BM24" s="131" t="str">
        <f t="shared" si="29"/>
        <v/>
      </c>
      <c r="BN24" s="131" t="str">
        <f t="shared" si="30"/>
        <v/>
      </c>
      <c r="BO24" s="131">
        <f t="shared" si="31"/>
        <v>1</v>
      </c>
      <c r="BP24" s="131" t="str">
        <f t="shared" si="32"/>
        <v/>
      </c>
      <c r="BQ24" s="131" t="str">
        <f t="shared" si="33"/>
        <v/>
      </c>
      <c r="BR24" s="131" t="str">
        <f t="shared" si="34"/>
        <v/>
      </c>
      <c r="BS24" s="131" t="str">
        <f t="shared" si="35"/>
        <v/>
      </c>
      <c r="BT24" s="131">
        <f t="shared" si="36"/>
        <v>1</v>
      </c>
      <c r="BU24" s="131">
        <f t="shared" si="37"/>
        <v>1</v>
      </c>
      <c r="BV24" s="131">
        <f t="shared" si="38"/>
        <v>1</v>
      </c>
      <c r="BW24" s="131">
        <f t="shared" si="39"/>
        <v>1</v>
      </c>
      <c r="BX24" s="131">
        <f t="shared" si="40"/>
        <v>1</v>
      </c>
      <c r="BY24" s="131">
        <f t="shared" si="41"/>
        <v>1</v>
      </c>
      <c r="BZ24" s="131" t="str">
        <f t="shared" si="42"/>
        <v/>
      </c>
      <c r="CA24" s="131" t="str">
        <f t="shared" si="43"/>
        <v/>
      </c>
      <c r="CB24" s="131">
        <f t="shared" si="44"/>
        <v>1</v>
      </c>
      <c r="CC24" s="131">
        <f t="shared" si="45"/>
        <v>1</v>
      </c>
      <c r="CD24" s="131">
        <f t="shared" si="46"/>
        <v>1</v>
      </c>
      <c r="CE24" s="131" t="str">
        <f t="shared" si="47"/>
        <v/>
      </c>
      <c r="CF24" s="131">
        <f t="shared" si="48"/>
        <v>1</v>
      </c>
      <c r="CG24" s="131">
        <f t="shared" si="49"/>
        <v>1</v>
      </c>
      <c r="CH24" s="131">
        <f t="shared" si="50"/>
        <v>1</v>
      </c>
      <c r="CI24" s="131" t="str">
        <f t="shared" si="51"/>
        <v/>
      </c>
      <c r="CJ24" s="131" t="str">
        <f t="shared" si="52"/>
        <v/>
      </c>
      <c r="CK24" s="131" t="str">
        <f t="shared" si="53"/>
        <v/>
      </c>
      <c r="CL24" s="131" t="str">
        <f t="shared" si="54"/>
        <v/>
      </c>
      <c r="CM24" s="131" t="str">
        <f t="shared" si="55"/>
        <v/>
      </c>
      <c r="CN24" s="131" t="str">
        <f t="shared" si="56"/>
        <v/>
      </c>
      <c r="CO24" s="131" t="str">
        <f t="shared" si="57"/>
        <v/>
      </c>
      <c r="CP24" s="131" t="str">
        <f t="shared" si="58"/>
        <v/>
      </c>
    </row>
    <row r="25" spans="1:94" s="95" customFormat="1" ht="15.95" customHeight="1" x14ac:dyDescent="0.3">
      <c r="A25" s="741"/>
      <c r="B25" s="325">
        <v>4</v>
      </c>
      <c r="C25" s="322" t="s">
        <v>345</v>
      </c>
      <c r="D25" s="541" t="s">
        <v>67</v>
      </c>
      <c r="E25" s="541" t="s">
        <v>88</v>
      </c>
      <c r="F25" s="541" t="s">
        <v>58</v>
      </c>
      <c r="G25" s="541" t="s">
        <v>50</v>
      </c>
      <c r="H25" s="541" t="s">
        <v>54</v>
      </c>
      <c r="I25" s="541" t="s">
        <v>79</v>
      </c>
      <c r="J25" s="541" t="s">
        <v>86</v>
      </c>
      <c r="K25" s="541" t="s">
        <v>70</v>
      </c>
      <c r="L25" s="541" t="s">
        <v>57</v>
      </c>
      <c r="M25" s="541" t="s">
        <v>55</v>
      </c>
      <c r="N25" s="541" t="s">
        <v>95</v>
      </c>
      <c r="O25" s="541" t="s">
        <v>92</v>
      </c>
      <c r="P25" s="541" t="s">
        <v>94</v>
      </c>
      <c r="Q25" s="541" t="s">
        <v>51</v>
      </c>
      <c r="R25" s="541" t="s">
        <v>63</v>
      </c>
      <c r="S25" s="541" t="s">
        <v>85</v>
      </c>
      <c r="T25" s="541" t="s">
        <v>53</v>
      </c>
      <c r="U25" s="541" t="s">
        <v>49</v>
      </c>
      <c r="V25" s="541" t="s">
        <v>77</v>
      </c>
      <c r="W25" s="541" t="s">
        <v>72</v>
      </c>
      <c r="X25" s="541" t="s">
        <v>80</v>
      </c>
      <c r="Y25" s="541" t="s">
        <v>62</v>
      </c>
      <c r="Z25" s="541" t="s">
        <v>96</v>
      </c>
      <c r="AA25" s="541" t="s">
        <v>93</v>
      </c>
      <c r="AB25" s="541" t="s">
        <v>61</v>
      </c>
      <c r="AC25" s="541" t="s">
        <v>83</v>
      </c>
      <c r="AD25" s="541" t="s">
        <v>220</v>
      </c>
      <c r="AE25" s="563" t="s">
        <v>76</v>
      </c>
      <c r="AF25" s="131" t="str">
        <f t="shared" si="63"/>
        <v/>
      </c>
      <c r="AG25" s="131" t="str">
        <f t="shared" si="59"/>
        <v/>
      </c>
      <c r="AH25" s="131" t="str">
        <f t="shared" si="60"/>
        <v/>
      </c>
      <c r="AI25" s="131" t="str">
        <f t="shared" si="61"/>
        <v/>
      </c>
      <c r="AJ25" s="131" t="str">
        <f t="shared" si="62"/>
        <v/>
      </c>
      <c r="AK25" s="131">
        <f t="shared" si="1"/>
        <v>1</v>
      </c>
      <c r="AL25" s="131">
        <f t="shared" si="2"/>
        <v>1</v>
      </c>
      <c r="AM25" s="131">
        <f t="shared" si="3"/>
        <v>1</v>
      </c>
      <c r="AN25" s="131" t="str">
        <f t="shared" si="4"/>
        <v/>
      </c>
      <c r="AO25" s="131">
        <f t="shared" si="5"/>
        <v>1</v>
      </c>
      <c r="AP25" s="131">
        <f t="shared" si="6"/>
        <v>1</v>
      </c>
      <c r="AQ25" s="131">
        <f t="shared" si="7"/>
        <v>1</v>
      </c>
      <c r="AR25" s="131" t="str">
        <f t="shared" si="8"/>
        <v/>
      </c>
      <c r="AS25" s="131" t="str">
        <f t="shared" si="9"/>
        <v/>
      </c>
      <c r="AT25" s="131">
        <f t="shared" si="10"/>
        <v>1</v>
      </c>
      <c r="AU25" s="131">
        <f t="shared" si="11"/>
        <v>1</v>
      </c>
      <c r="AV25" s="131" t="str">
        <f t="shared" si="12"/>
        <v/>
      </c>
      <c r="AW25" s="131" t="str">
        <f t="shared" si="13"/>
        <v/>
      </c>
      <c r="AX25" s="131">
        <f t="shared" si="14"/>
        <v>1</v>
      </c>
      <c r="AY25" s="131">
        <f t="shared" si="15"/>
        <v>1</v>
      </c>
      <c r="AZ25" s="131">
        <f t="shared" si="16"/>
        <v>1</v>
      </c>
      <c r="BA25" s="131" t="str">
        <f t="shared" si="17"/>
        <v/>
      </c>
      <c r="BB25" s="131" t="str">
        <f t="shared" si="18"/>
        <v/>
      </c>
      <c r="BC25" s="131">
        <f t="shared" si="19"/>
        <v>1</v>
      </c>
      <c r="BD25" s="131" t="str">
        <f t="shared" si="20"/>
        <v/>
      </c>
      <c r="BE25" s="131" t="str">
        <f t="shared" si="21"/>
        <v/>
      </c>
      <c r="BF25" s="131">
        <f t="shared" si="22"/>
        <v>1</v>
      </c>
      <c r="BG25" s="131">
        <f t="shared" si="23"/>
        <v>1</v>
      </c>
      <c r="BH25" s="131" t="str">
        <f t="shared" si="24"/>
        <v/>
      </c>
      <c r="BI25" s="131" t="str">
        <f t="shared" si="25"/>
        <v/>
      </c>
      <c r="BJ25" s="131" t="str">
        <f t="shared" si="26"/>
        <v/>
      </c>
      <c r="BK25" s="131">
        <f t="shared" si="27"/>
        <v>1</v>
      </c>
      <c r="BL25" s="131">
        <f t="shared" si="28"/>
        <v>1</v>
      </c>
      <c r="BM25" s="131" t="str">
        <f t="shared" si="29"/>
        <v/>
      </c>
      <c r="BN25" s="131">
        <f t="shared" si="30"/>
        <v>1</v>
      </c>
      <c r="BO25" s="131">
        <f t="shared" si="31"/>
        <v>1</v>
      </c>
      <c r="BP25" s="131" t="str">
        <f t="shared" si="32"/>
        <v/>
      </c>
      <c r="BQ25" s="131" t="str">
        <f t="shared" si="33"/>
        <v/>
      </c>
      <c r="BR25" s="131" t="str">
        <f t="shared" si="34"/>
        <v/>
      </c>
      <c r="BS25" s="131" t="str">
        <f t="shared" si="35"/>
        <v/>
      </c>
      <c r="BT25" s="131">
        <f t="shared" si="36"/>
        <v>1</v>
      </c>
      <c r="BU25" s="131" t="str">
        <f t="shared" si="37"/>
        <v/>
      </c>
      <c r="BV25" s="131">
        <f t="shared" si="38"/>
        <v>1</v>
      </c>
      <c r="BW25" s="131">
        <f t="shared" si="39"/>
        <v>1</v>
      </c>
      <c r="BX25" s="131">
        <f t="shared" si="40"/>
        <v>1</v>
      </c>
      <c r="BY25" s="131" t="str">
        <f t="shared" si="41"/>
        <v/>
      </c>
      <c r="BZ25" s="131" t="str">
        <f t="shared" si="42"/>
        <v/>
      </c>
      <c r="CA25" s="131" t="str">
        <f t="shared" si="43"/>
        <v/>
      </c>
      <c r="CB25" s="131">
        <f t="shared" si="44"/>
        <v>1</v>
      </c>
      <c r="CC25" s="131">
        <f t="shared" si="45"/>
        <v>1</v>
      </c>
      <c r="CD25" s="131">
        <f t="shared" si="46"/>
        <v>1</v>
      </c>
      <c r="CE25" s="131" t="str">
        <f t="shared" si="47"/>
        <v/>
      </c>
      <c r="CF25" s="131">
        <f t="shared" si="48"/>
        <v>1</v>
      </c>
      <c r="CG25" s="131">
        <f t="shared" si="49"/>
        <v>1</v>
      </c>
      <c r="CH25" s="131">
        <f t="shared" si="50"/>
        <v>1</v>
      </c>
      <c r="CI25" s="131" t="str">
        <f t="shared" si="51"/>
        <v/>
      </c>
      <c r="CJ25" s="131" t="str">
        <f t="shared" si="52"/>
        <v/>
      </c>
      <c r="CK25" s="131" t="str">
        <f t="shared" si="53"/>
        <v/>
      </c>
      <c r="CL25" s="131" t="str">
        <f t="shared" si="54"/>
        <v/>
      </c>
      <c r="CM25" s="131" t="str">
        <f t="shared" si="55"/>
        <v/>
      </c>
      <c r="CN25" s="131" t="str">
        <f t="shared" si="56"/>
        <v/>
      </c>
      <c r="CO25" s="131" t="str">
        <f t="shared" si="57"/>
        <v/>
      </c>
      <c r="CP25" s="131" t="str">
        <f t="shared" si="58"/>
        <v/>
      </c>
    </row>
    <row r="26" spans="1:94" s="95" customFormat="1" ht="15.95" customHeight="1" x14ac:dyDescent="0.3">
      <c r="A26" s="742"/>
      <c r="B26" s="326">
        <v>5</v>
      </c>
      <c r="C26" s="323" t="s">
        <v>346</v>
      </c>
      <c r="D26" s="542" t="s">
        <v>67</v>
      </c>
      <c r="E26" s="542" t="s">
        <v>77</v>
      </c>
      <c r="F26" s="542" t="s">
        <v>94</v>
      </c>
      <c r="G26" s="542" t="s">
        <v>92</v>
      </c>
      <c r="H26" s="542" t="s">
        <v>54</v>
      </c>
      <c r="I26" s="542" t="s">
        <v>57</v>
      </c>
      <c r="J26" s="542" t="s">
        <v>50</v>
      </c>
      <c r="K26" s="542" t="s">
        <v>70</v>
      </c>
      <c r="L26" s="542" t="s">
        <v>93</v>
      </c>
      <c r="M26" s="542" t="s">
        <v>220</v>
      </c>
      <c r="N26" s="542" t="s">
        <v>85</v>
      </c>
      <c r="O26" s="542" t="s">
        <v>80</v>
      </c>
      <c r="P26" s="542" t="s">
        <v>79</v>
      </c>
      <c r="Q26" s="542" t="s">
        <v>51</v>
      </c>
      <c r="R26" s="542" t="s">
        <v>48</v>
      </c>
      <c r="S26" s="542" t="s">
        <v>55</v>
      </c>
      <c r="T26" s="542" t="s">
        <v>63</v>
      </c>
      <c r="U26" s="542" t="s">
        <v>49</v>
      </c>
      <c r="V26" s="542" t="s">
        <v>61</v>
      </c>
      <c r="W26" s="542" t="s">
        <v>72</v>
      </c>
      <c r="X26" s="542" t="s">
        <v>86</v>
      </c>
      <c r="Y26" s="542" t="s">
        <v>45</v>
      </c>
      <c r="Z26" s="542" t="s">
        <v>88</v>
      </c>
      <c r="AA26" s="542" t="s">
        <v>83</v>
      </c>
      <c r="AB26" s="542" t="s">
        <v>236</v>
      </c>
      <c r="AC26" s="542" t="s">
        <v>62</v>
      </c>
      <c r="AD26" s="542" t="s">
        <v>96</v>
      </c>
      <c r="AE26" s="564" t="s">
        <v>76</v>
      </c>
      <c r="AF26" s="131" t="str">
        <f t="shared" si="63"/>
        <v/>
      </c>
      <c r="AG26" s="131">
        <f t="shared" si="59"/>
        <v>1</v>
      </c>
      <c r="AH26" s="131" t="str">
        <f t="shared" si="60"/>
        <v/>
      </c>
      <c r="AI26" s="131" t="str">
        <f t="shared" si="61"/>
        <v/>
      </c>
      <c r="AJ26" s="131">
        <f t="shared" si="62"/>
        <v>1</v>
      </c>
      <c r="AK26" s="131">
        <f t="shared" si="1"/>
        <v>1</v>
      </c>
      <c r="AL26" s="131">
        <f t="shared" si="2"/>
        <v>1</v>
      </c>
      <c r="AM26" s="131">
        <f t="shared" si="3"/>
        <v>1</v>
      </c>
      <c r="AN26" s="131" t="str">
        <f t="shared" si="4"/>
        <v/>
      </c>
      <c r="AO26" s="131" t="str">
        <f t="shared" si="5"/>
        <v/>
      </c>
      <c r="AP26" s="131">
        <f t="shared" si="6"/>
        <v>1</v>
      </c>
      <c r="AQ26" s="131">
        <f t="shared" si="7"/>
        <v>1</v>
      </c>
      <c r="AR26" s="131" t="str">
        <f t="shared" si="8"/>
        <v/>
      </c>
      <c r="AS26" s="131">
        <f t="shared" si="9"/>
        <v>1</v>
      </c>
      <c r="AT26" s="131">
        <f t="shared" si="10"/>
        <v>1</v>
      </c>
      <c r="AU26" s="131" t="str">
        <f t="shared" si="11"/>
        <v/>
      </c>
      <c r="AV26" s="131" t="str">
        <f t="shared" si="12"/>
        <v/>
      </c>
      <c r="AW26" s="131" t="str">
        <f t="shared" si="13"/>
        <v/>
      </c>
      <c r="AX26" s="131">
        <f t="shared" si="14"/>
        <v>1</v>
      </c>
      <c r="AY26" s="131">
        <f t="shared" si="15"/>
        <v>1</v>
      </c>
      <c r="AZ26" s="131">
        <f t="shared" si="16"/>
        <v>1</v>
      </c>
      <c r="BA26" s="131" t="str">
        <f t="shared" si="17"/>
        <v/>
      </c>
      <c r="BB26" s="131" t="str">
        <f t="shared" si="18"/>
        <v/>
      </c>
      <c r="BC26" s="131">
        <f t="shared" si="19"/>
        <v>1</v>
      </c>
      <c r="BD26" s="131" t="str">
        <f t="shared" si="20"/>
        <v/>
      </c>
      <c r="BE26" s="131" t="str">
        <f t="shared" si="21"/>
        <v/>
      </c>
      <c r="BF26" s="131">
        <f t="shared" si="22"/>
        <v>1</v>
      </c>
      <c r="BG26" s="131">
        <f t="shared" si="23"/>
        <v>1</v>
      </c>
      <c r="BH26" s="131" t="str">
        <f t="shared" si="24"/>
        <v/>
      </c>
      <c r="BI26" s="131" t="str">
        <f t="shared" si="25"/>
        <v/>
      </c>
      <c r="BJ26" s="131" t="str">
        <f t="shared" si="26"/>
        <v/>
      </c>
      <c r="BK26" s="131">
        <f t="shared" si="27"/>
        <v>1</v>
      </c>
      <c r="BL26" s="131">
        <f t="shared" si="28"/>
        <v>1</v>
      </c>
      <c r="BM26" s="131" t="str">
        <f t="shared" si="29"/>
        <v/>
      </c>
      <c r="BN26" s="131">
        <f t="shared" si="30"/>
        <v>1</v>
      </c>
      <c r="BO26" s="131">
        <f t="shared" si="31"/>
        <v>1</v>
      </c>
      <c r="BP26" s="131" t="str">
        <f t="shared" si="32"/>
        <v/>
      </c>
      <c r="BQ26" s="131" t="str">
        <f t="shared" si="33"/>
        <v/>
      </c>
      <c r="BR26" s="131" t="str">
        <f t="shared" si="34"/>
        <v/>
      </c>
      <c r="BS26" s="131" t="str">
        <f t="shared" si="35"/>
        <v/>
      </c>
      <c r="BT26" s="131">
        <f t="shared" si="36"/>
        <v>1</v>
      </c>
      <c r="BU26" s="131" t="str">
        <f t="shared" si="37"/>
        <v/>
      </c>
      <c r="BV26" s="131">
        <f t="shared" si="38"/>
        <v>1</v>
      </c>
      <c r="BW26" s="131">
        <f t="shared" si="39"/>
        <v>1</v>
      </c>
      <c r="BX26" s="131">
        <f t="shared" si="40"/>
        <v>1</v>
      </c>
      <c r="BY26" s="131" t="str">
        <f t="shared" si="41"/>
        <v/>
      </c>
      <c r="BZ26" s="131" t="str">
        <f t="shared" si="42"/>
        <v/>
      </c>
      <c r="CA26" s="131" t="str">
        <f t="shared" si="43"/>
        <v/>
      </c>
      <c r="CB26" s="131">
        <f t="shared" si="44"/>
        <v>1</v>
      </c>
      <c r="CC26" s="131">
        <f t="shared" si="45"/>
        <v>1</v>
      </c>
      <c r="CD26" s="131">
        <f t="shared" si="46"/>
        <v>1</v>
      </c>
      <c r="CE26" s="131" t="str">
        <f t="shared" si="47"/>
        <v/>
      </c>
      <c r="CF26" s="131">
        <f t="shared" si="48"/>
        <v>1</v>
      </c>
      <c r="CG26" s="131" t="str">
        <f t="shared" si="49"/>
        <v/>
      </c>
      <c r="CH26" s="131">
        <f t="shared" si="50"/>
        <v>1</v>
      </c>
      <c r="CI26" s="131" t="str">
        <f t="shared" si="51"/>
        <v/>
      </c>
      <c r="CJ26" s="131" t="str">
        <f t="shared" si="52"/>
        <v/>
      </c>
      <c r="CK26" s="131" t="str">
        <f t="shared" si="53"/>
        <v/>
      </c>
      <c r="CL26" s="131" t="str">
        <f t="shared" si="54"/>
        <v/>
      </c>
      <c r="CM26" s="131" t="str">
        <f t="shared" si="55"/>
        <v/>
      </c>
      <c r="CN26" s="131" t="str">
        <f t="shared" si="56"/>
        <v/>
      </c>
      <c r="CO26" s="131" t="str">
        <f t="shared" si="57"/>
        <v/>
      </c>
      <c r="CP26" s="131" t="str">
        <f t="shared" si="58"/>
        <v/>
      </c>
    </row>
    <row r="27" spans="1:94" s="90" customFormat="1" ht="15.95" customHeight="1" x14ac:dyDescent="0.3">
      <c r="A27" s="737">
        <v>6</v>
      </c>
      <c r="B27" s="92">
        <v>1</v>
      </c>
      <c r="C27" s="240" t="s">
        <v>301</v>
      </c>
      <c r="D27" s="386" t="s">
        <v>81</v>
      </c>
      <c r="E27" s="386" t="s">
        <v>86</v>
      </c>
      <c r="F27" s="386" t="s">
        <v>88</v>
      </c>
      <c r="G27" s="386" t="s">
        <v>75</v>
      </c>
      <c r="H27" s="386" t="s">
        <v>77</v>
      </c>
      <c r="I27" s="386" t="s">
        <v>79</v>
      </c>
      <c r="J27" s="386" t="s">
        <v>60</v>
      </c>
      <c r="K27" s="386" t="s">
        <v>51</v>
      </c>
      <c r="L27" s="386" t="s">
        <v>57</v>
      </c>
      <c r="M27" s="386" t="s">
        <v>78</v>
      </c>
      <c r="N27" s="386" t="s">
        <v>47</v>
      </c>
      <c r="O27" s="386" t="s">
        <v>95</v>
      </c>
      <c r="P27" s="386" t="s">
        <v>83</v>
      </c>
      <c r="Q27" s="386" t="s">
        <v>67</v>
      </c>
      <c r="R27" s="386" t="s">
        <v>63</v>
      </c>
      <c r="S27" s="386" t="s">
        <v>46</v>
      </c>
      <c r="T27" s="386" t="s">
        <v>53</v>
      </c>
      <c r="U27" s="386" t="s">
        <v>66</v>
      </c>
      <c r="V27" s="386" t="s">
        <v>236</v>
      </c>
      <c r="W27" s="386" t="s">
        <v>69</v>
      </c>
      <c r="X27" s="386" t="s">
        <v>93</v>
      </c>
      <c r="Y27" s="386" t="s">
        <v>68</v>
      </c>
      <c r="Z27" s="386" t="s">
        <v>76</v>
      </c>
      <c r="AA27" s="386" t="s">
        <v>45</v>
      </c>
      <c r="AB27" s="386" t="s">
        <v>61</v>
      </c>
      <c r="AC27" s="386" t="s">
        <v>97</v>
      </c>
      <c r="AD27" s="386" t="s">
        <v>80</v>
      </c>
      <c r="AE27" s="565" t="s">
        <v>190</v>
      </c>
      <c r="AF27" s="130" t="str">
        <f t="shared" si="63"/>
        <v/>
      </c>
      <c r="AG27" s="130">
        <f t="shared" si="59"/>
        <v>1</v>
      </c>
      <c r="AH27" s="130">
        <f t="shared" si="60"/>
        <v>1</v>
      </c>
      <c r="AI27" s="130">
        <f t="shared" si="61"/>
        <v>1</v>
      </c>
      <c r="AJ27" s="130" t="str">
        <f t="shared" si="62"/>
        <v/>
      </c>
      <c r="AK27" s="130" t="str">
        <f t="shared" si="1"/>
        <v/>
      </c>
      <c r="AL27" s="130" t="str">
        <f t="shared" si="2"/>
        <v/>
      </c>
      <c r="AM27" s="130">
        <f t="shared" si="3"/>
        <v>1</v>
      </c>
      <c r="AN27" s="130" t="str">
        <f t="shared" si="4"/>
        <v/>
      </c>
      <c r="AO27" s="130">
        <f t="shared" si="5"/>
        <v>1</v>
      </c>
      <c r="AP27" s="130" t="str">
        <f t="shared" si="6"/>
        <v/>
      </c>
      <c r="AQ27" s="130" t="str">
        <f t="shared" si="7"/>
        <v/>
      </c>
      <c r="AR27" s="130" t="str">
        <f t="shared" si="8"/>
        <v/>
      </c>
      <c r="AS27" s="130">
        <f t="shared" si="9"/>
        <v>1</v>
      </c>
      <c r="AT27" s="130">
        <f t="shared" si="10"/>
        <v>1</v>
      </c>
      <c r="AU27" s="130" t="str">
        <f t="shared" si="11"/>
        <v/>
      </c>
      <c r="AV27" s="130" t="str">
        <f t="shared" si="12"/>
        <v/>
      </c>
      <c r="AW27" s="130">
        <f t="shared" si="13"/>
        <v>1</v>
      </c>
      <c r="AX27" s="130">
        <f t="shared" si="14"/>
        <v>1</v>
      </c>
      <c r="AY27" s="130" t="str">
        <f t="shared" si="15"/>
        <v/>
      </c>
      <c r="AZ27" s="130">
        <f t="shared" si="16"/>
        <v>1</v>
      </c>
      <c r="BA27" s="130" t="str">
        <f t="shared" si="17"/>
        <v/>
      </c>
      <c r="BB27" s="130">
        <f t="shared" si="18"/>
        <v>1</v>
      </c>
      <c r="BC27" s="130">
        <f t="shared" si="19"/>
        <v>1</v>
      </c>
      <c r="BD27" s="130">
        <f t="shared" si="20"/>
        <v>1</v>
      </c>
      <c r="BE27" s="130">
        <f t="shared" si="21"/>
        <v>1</v>
      </c>
      <c r="BF27" s="130" t="str">
        <f t="shared" si="22"/>
        <v/>
      </c>
      <c r="BG27" s="130" t="str">
        <f t="shared" si="23"/>
        <v/>
      </c>
      <c r="BH27" s="130" t="str">
        <f t="shared" si="24"/>
        <v/>
      </c>
      <c r="BI27" s="130" t="str">
        <f t="shared" si="25"/>
        <v/>
      </c>
      <c r="BJ27" s="130">
        <f t="shared" si="26"/>
        <v>1</v>
      </c>
      <c r="BK27" s="130">
        <f t="shared" si="27"/>
        <v>1</v>
      </c>
      <c r="BL27" s="130">
        <f t="shared" si="28"/>
        <v>1</v>
      </c>
      <c r="BM27" s="130">
        <f t="shared" si="29"/>
        <v>1</v>
      </c>
      <c r="BN27" s="130">
        <f t="shared" si="30"/>
        <v>1</v>
      </c>
      <c r="BO27" s="130">
        <f t="shared" si="31"/>
        <v>1</v>
      </c>
      <c r="BP27" s="130">
        <f t="shared" si="32"/>
        <v>1</v>
      </c>
      <c r="BQ27" s="130" t="str">
        <f t="shared" si="33"/>
        <v/>
      </c>
      <c r="BR27" s="130" t="str">
        <f t="shared" si="34"/>
        <v/>
      </c>
      <c r="BS27" s="130" t="str">
        <f t="shared" si="35"/>
        <v/>
      </c>
      <c r="BT27" s="130">
        <f t="shared" si="36"/>
        <v>1</v>
      </c>
      <c r="BU27" s="130" t="str">
        <f t="shared" si="37"/>
        <v/>
      </c>
      <c r="BV27" s="130">
        <f t="shared" si="38"/>
        <v>1</v>
      </c>
      <c r="BW27" s="130" t="str">
        <f t="shared" si="39"/>
        <v/>
      </c>
      <c r="BX27" s="130">
        <f t="shared" si="40"/>
        <v>1</v>
      </c>
      <c r="BY27" s="130" t="str">
        <f t="shared" si="41"/>
        <v/>
      </c>
      <c r="BZ27" s="130" t="str">
        <f t="shared" si="42"/>
        <v/>
      </c>
      <c r="CA27" s="130" t="str">
        <f t="shared" si="43"/>
        <v/>
      </c>
      <c r="CB27" s="130" t="str">
        <f t="shared" si="44"/>
        <v/>
      </c>
      <c r="CC27" s="130" t="str">
        <f t="shared" si="45"/>
        <v/>
      </c>
      <c r="CD27" s="130">
        <f t="shared" si="46"/>
        <v>1</v>
      </c>
      <c r="CE27" s="130">
        <f t="shared" si="47"/>
        <v>1</v>
      </c>
      <c r="CF27" s="130" t="str">
        <f t="shared" si="48"/>
        <v/>
      </c>
      <c r="CG27" s="130">
        <f t="shared" si="49"/>
        <v>1</v>
      </c>
      <c r="CH27" s="130" t="str">
        <f t="shared" si="50"/>
        <v/>
      </c>
      <c r="CI27" s="130">
        <f t="shared" si="51"/>
        <v>1</v>
      </c>
      <c r="CJ27" s="130" t="str">
        <f t="shared" si="52"/>
        <v/>
      </c>
      <c r="CK27" s="130" t="str">
        <f t="shared" si="53"/>
        <v/>
      </c>
      <c r="CL27" s="130" t="str">
        <f t="shared" si="54"/>
        <v/>
      </c>
      <c r="CM27" s="130" t="str">
        <f t="shared" si="55"/>
        <v/>
      </c>
      <c r="CN27" s="130" t="str">
        <f t="shared" si="56"/>
        <v/>
      </c>
      <c r="CO27" s="130" t="str">
        <f t="shared" si="57"/>
        <v/>
      </c>
      <c r="CP27" s="130" t="str">
        <f t="shared" si="58"/>
        <v/>
      </c>
    </row>
    <row r="28" spans="1:94" s="90" customFormat="1" ht="15.95" customHeight="1" x14ac:dyDescent="0.3">
      <c r="A28" s="738"/>
      <c r="B28" s="93">
        <v>2</v>
      </c>
      <c r="C28" s="241" t="s">
        <v>303</v>
      </c>
      <c r="D28" s="384" t="s">
        <v>95</v>
      </c>
      <c r="E28" s="384" t="s">
        <v>54</v>
      </c>
      <c r="F28" s="384" t="s">
        <v>81</v>
      </c>
      <c r="G28" s="384" t="s">
        <v>59</v>
      </c>
      <c r="H28" s="384" t="s">
        <v>77</v>
      </c>
      <c r="I28" s="384" t="s">
        <v>79</v>
      </c>
      <c r="J28" s="384" t="s">
        <v>78</v>
      </c>
      <c r="K28" s="384" t="s">
        <v>51</v>
      </c>
      <c r="L28" s="384" t="s">
        <v>53</v>
      </c>
      <c r="M28" s="384" t="s">
        <v>93</v>
      </c>
      <c r="N28" s="384" t="s">
        <v>60</v>
      </c>
      <c r="O28" s="384" t="s">
        <v>83</v>
      </c>
      <c r="P28" s="384" t="s">
        <v>63</v>
      </c>
      <c r="Q28" s="384" t="s">
        <v>80</v>
      </c>
      <c r="R28" s="384" t="s">
        <v>97</v>
      </c>
      <c r="S28" s="384" t="s">
        <v>74</v>
      </c>
      <c r="T28" s="384" t="s">
        <v>190</v>
      </c>
      <c r="U28" s="384" t="s">
        <v>49</v>
      </c>
      <c r="V28" s="384" t="s">
        <v>61</v>
      </c>
      <c r="W28" s="384" t="s">
        <v>69</v>
      </c>
      <c r="X28" s="384" t="s">
        <v>66</v>
      </c>
      <c r="Y28" s="384" t="s">
        <v>86</v>
      </c>
      <c r="Z28" s="384" t="s">
        <v>236</v>
      </c>
      <c r="AA28" s="384" t="s">
        <v>45</v>
      </c>
      <c r="AB28" s="384" t="s">
        <v>76</v>
      </c>
      <c r="AC28" s="384" t="s">
        <v>90</v>
      </c>
      <c r="AD28" s="384" t="s">
        <v>75</v>
      </c>
      <c r="AE28" s="560" t="s">
        <v>46</v>
      </c>
      <c r="AF28" s="130" t="str">
        <f t="shared" si="63"/>
        <v/>
      </c>
      <c r="AG28" s="130">
        <f t="shared" si="59"/>
        <v>1</v>
      </c>
      <c r="AH28" s="130">
        <f t="shared" si="60"/>
        <v>1</v>
      </c>
      <c r="AI28" s="130" t="str">
        <f t="shared" si="61"/>
        <v/>
      </c>
      <c r="AJ28" s="130" t="str">
        <f t="shared" si="62"/>
        <v/>
      </c>
      <c r="AK28" s="130">
        <f t="shared" si="1"/>
        <v>1</v>
      </c>
      <c r="AL28" s="130" t="str">
        <f t="shared" si="2"/>
        <v/>
      </c>
      <c r="AM28" s="130">
        <f t="shared" si="3"/>
        <v>1</v>
      </c>
      <c r="AN28" s="130" t="str">
        <f t="shared" si="4"/>
        <v/>
      </c>
      <c r="AO28" s="130">
        <f t="shared" si="5"/>
        <v>1</v>
      </c>
      <c r="AP28" s="130">
        <f t="shared" si="6"/>
        <v>1</v>
      </c>
      <c r="AQ28" s="130" t="str">
        <f t="shared" si="7"/>
        <v/>
      </c>
      <c r="AR28" s="130" t="str">
        <f t="shared" si="8"/>
        <v/>
      </c>
      <c r="AS28" s="130">
        <f t="shared" si="9"/>
        <v>1</v>
      </c>
      <c r="AT28" s="130" t="str">
        <f t="shared" si="10"/>
        <v/>
      </c>
      <c r="AU28" s="130" t="str">
        <f t="shared" si="11"/>
        <v/>
      </c>
      <c r="AV28" s="130">
        <f t="shared" si="12"/>
        <v>1</v>
      </c>
      <c r="AW28" s="130">
        <f t="shared" si="13"/>
        <v>1</v>
      </c>
      <c r="AX28" s="130">
        <f t="shared" si="14"/>
        <v>1</v>
      </c>
      <c r="AY28" s="130" t="str">
        <f t="shared" si="15"/>
        <v/>
      </c>
      <c r="AZ28" s="130">
        <f t="shared" si="16"/>
        <v>1</v>
      </c>
      <c r="BA28" s="130" t="str">
        <f t="shared" si="17"/>
        <v/>
      </c>
      <c r="BB28" s="130">
        <f t="shared" si="18"/>
        <v>1</v>
      </c>
      <c r="BC28" s="130" t="str">
        <f t="shared" si="19"/>
        <v/>
      </c>
      <c r="BD28" s="130" t="str">
        <f t="shared" si="20"/>
        <v/>
      </c>
      <c r="BE28" s="130">
        <f t="shared" si="21"/>
        <v>1</v>
      </c>
      <c r="BF28" s="130" t="str">
        <f t="shared" si="22"/>
        <v/>
      </c>
      <c r="BG28" s="130" t="str">
        <f t="shared" si="23"/>
        <v/>
      </c>
      <c r="BH28" s="130" t="str">
        <f t="shared" si="24"/>
        <v/>
      </c>
      <c r="BI28" s="130">
        <f t="shared" si="25"/>
        <v>1</v>
      </c>
      <c r="BJ28" s="130">
        <f t="shared" si="26"/>
        <v>1</v>
      </c>
      <c r="BK28" s="130">
        <f t="shared" si="27"/>
        <v>1</v>
      </c>
      <c r="BL28" s="130">
        <f t="shared" si="28"/>
        <v>1</v>
      </c>
      <c r="BM28" s="130">
        <f t="shared" si="29"/>
        <v>1</v>
      </c>
      <c r="BN28" s="130">
        <f t="shared" si="30"/>
        <v>1</v>
      </c>
      <c r="BO28" s="130">
        <f t="shared" si="31"/>
        <v>1</v>
      </c>
      <c r="BP28" s="130">
        <f t="shared" si="32"/>
        <v>1</v>
      </c>
      <c r="BQ28" s="130" t="str">
        <f t="shared" si="33"/>
        <v/>
      </c>
      <c r="BR28" s="130" t="str">
        <f t="shared" si="34"/>
        <v/>
      </c>
      <c r="BS28" s="130" t="str">
        <f t="shared" si="35"/>
        <v/>
      </c>
      <c r="BT28" s="130" t="str">
        <f t="shared" si="36"/>
        <v/>
      </c>
      <c r="BU28" s="130" t="str">
        <f t="shared" si="37"/>
        <v/>
      </c>
      <c r="BV28" s="130">
        <f t="shared" si="38"/>
        <v>1</v>
      </c>
      <c r="BW28" s="130" t="str">
        <f t="shared" si="39"/>
        <v/>
      </c>
      <c r="BX28" s="130">
        <f t="shared" si="40"/>
        <v>1</v>
      </c>
      <c r="BY28" s="130" t="str">
        <f t="shared" si="41"/>
        <v/>
      </c>
      <c r="BZ28" s="130">
        <f t="shared" si="42"/>
        <v>1</v>
      </c>
      <c r="CA28" s="130" t="str">
        <f t="shared" si="43"/>
        <v/>
      </c>
      <c r="CB28" s="130" t="str">
        <f t="shared" si="44"/>
        <v/>
      </c>
      <c r="CC28" s="130" t="str">
        <f t="shared" si="45"/>
        <v/>
      </c>
      <c r="CD28" s="130">
        <f t="shared" si="46"/>
        <v>1</v>
      </c>
      <c r="CE28" s="130">
        <f t="shared" si="47"/>
        <v>1</v>
      </c>
      <c r="CF28" s="130" t="str">
        <f t="shared" si="48"/>
        <v/>
      </c>
      <c r="CG28" s="130">
        <f t="shared" si="49"/>
        <v>1</v>
      </c>
      <c r="CH28" s="130" t="str">
        <f t="shared" si="50"/>
        <v/>
      </c>
      <c r="CI28" s="130">
        <f t="shared" si="51"/>
        <v>1</v>
      </c>
      <c r="CJ28" s="130" t="str">
        <f t="shared" si="52"/>
        <v/>
      </c>
      <c r="CK28" s="130" t="str">
        <f t="shared" si="53"/>
        <v/>
      </c>
      <c r="CL28" s="130" t="str">
        <f t="shared" si="54"/>
        <v/>
      </c>
      <c r="CM28" s="130" t="str">
        <f t="shared" si="55"/>
        <v/>
      </c>
      <c r="CN28" s="130" t="str">
        <f t="shared" si="56"/>
        <v/>
      </c>
      <c r="CO28" s="130" t="str">
        <f t="shared" si="57"/>
        <v/>
      </c>
      <c r="CP28" s="130" t="str">
        <f t="shared" si="58"/>
        <v/>
      </c>
    </row>
    <row r="29" spans="1:94" s="90" customFormat="1" ht="15.95" customHeight="1" x14ac:dyDescent="0.3">
      <c r="A29" s="738"/>
      <c r="B29" s="93">
        <v>3</v>
      </c>
      <c r="C29" s="241" t="s">
        <v>344</v>
      </c>
      <c r="D29" s="384" t="s">
        <v>57</v>
      </c>
      <c r="E29" s="384" t="s">
        <v>95</v>
      </c>
      <c r="F29" s="384" t="s">
        <v>58</v>
      </c>
      <c r="G29" s="384" t="s">
        <v>59</v>
      </c>
      <c r="H29" s="384" t="s">
        <v>54</v>
      </c>
      <c r="I29" s="384" t="s">
        <v>68</v>
      </c>
      <c r="J29" s="384" t="s">
        <v>50</v>
      </c>
      <c r="K29" s="384" t="s">
        <v>81</v>
      </c>
      <c r="L29" s="384" t="s">
        <v>53</v>
      </c>
      <c r="M29" s="384" t="s">
        <v>63</v>
      </c>
      <c r="N29" s="384" t="s">
        <v>60</v>
      </c>
      <c r="O29" s="384" t="s">
        <v>80</v>
      </c>
      <c r="P29" s="384" t="s">
        <v>67</v>
      </c>
      <c r="Q29" s="384" t="s">
        <v>51</v>
      </c>
      <c r="R29" s="384" t="s">
        <v>69</v>
      </c>
      <c r="S29" s="384" t="s">
        <v>78</v>
      </c>
      <c r="T29" s="384" t="s">
        <v>73</v>
      </c>
      <c r="U29" s="384" t="s">
        <v>97</v>
      </c>
      <c r="V29" s="384" t="s">
        <v>190</v>
      </c>
      <c r="W29" s="384" t="s">
        <v>47</v>
      </c>
      <c r="X29" s="384" t="s">
        <v>74</v>
      </c>
      <c r="Y29" s="384" t="s">
        <v>77</v>
      </c>
      <c r="Z29" s="384" t="s">
        <v>96</v>
      </c>
      <c r="AA29" s="384" t="s">
        <v>91</v>
      </c>
      <c r="AB29" s="384" t="s">
        <v>85</v>
      </c>
      <c r="AC29" s="384" t="s">
        <v>90</v>
      </c>
      <c r="AD29" s="384" t="s">
        <v>88</v>
      </c>
      <c r="AE29" s="560" t="s">
        <v>46</v>
      </c>
      <c r="AF29" s="130" t="str">
        <f t="shared" si="63"/>
        <v/>
      </c>
      <c r="AG29" s="130" t="str">
        <f t="shared" si="59"/>
        <v/>
      </c>
      <c r="AH29" s="130">
        <f t="shared" si="60"/>
        <v>1</v>
      </c>
      <c r="AI29" s="130">
        <f t="shared" si="61"/>
        <v>1</v>
      </c>
      <c r="AJ29" s="130" t="str">
        <f t="shared" si="62"/>
        <v/>
      </c>
      <c r="AK29" s="130" t="str">
        <f t="shared" si="1"/>
        <v/>
      </c>
      <c r="AL29" s="130">
        <f t="shared" si="2"/>
        <v>1</v>
      </c>
      <c r="AM29" s="130">
        <f t="shared" si="3"/>
        <v>1</v>
      </c>
      <c r="AN29" s="130" t="str">
        <f t="shared" si="4"/>
        <v/>
      </c>
      <c r="AO29" s="130">
        <f t="shared" si="5"/>
        <v>1</v>
      </c>
      <c r="AP29" s="130">
        <f t="shared" si="6"/>
        <v>1</v>
      </c>
      <c r="AQ29" s="130" t="str">
        <f t="shared" si="7"/>
        <v/>
      </c>
      <c r="AR29" s="130" t="str">
        <f t="shared" si="8"/>
        <v/>
      </c>
      <c r="AS29" s="130" t="str">
        <f t="shared" si="9"/>
        <v/>
      </c>
      <c r="AT29" s="130">
        <f t="shared" si="10"/>
        <v>1</v>
      </c>
      <c r="AU29" s="130">
        <f t="shared" si="11"/>
        <v>1</v>
      </c>
      <c r="AV29" s="130">
        <f t="shared" si="12"/>
        <v>1</v>
      </c>
      <c r="AW29" s="130">
        <f t="shared" si="13"/>
        <v>1</v>
      </c>
      <c r="AX29" s="130" t="str">
        <f t="shared" si="14"/>
        <v/>
      </c>
      <c r="AY29" s="130" t="str">
        <f t="shared" si="15"/>
        <v/>
      </c>
      <c r="AZ29" s="130">
        <f t="shared" si="16"/>
        <v>1</v>
      </c>
      <c r="BA29" s="130" t="str">
        <f t="shared" si="17"/>
        <v/>
      </c>
      <c r="BB29" s="130" t="str">
        <f t="shared" si="18"/>
        <v/>
      </c>
      <c r="BC29" s="130">
        <f t="shared" si="19"/>
        <v>1</v>
      </c>
      <c r="BD29" s="130">
        <f t="shared" si="20"/>
        <v>1</v>
      </c>
      <c r="BE29" s="130">
        <f t="shared" si="21"/>
        <v>1</v>
      </c>
      <c r="BF29" s="130" t="str">
        <f t="shared" si="22"/>
        <v/>
      </c>
      <c r="BG29" s="130" t="str">
        <f t="shared" si="23"/>
        <v/>
      </c>
      <c r="BH29" s="130">
        <f t="shared" si="24"/>
        <v>1</v>
      </c>
      <c r="BI29" s="130">
        <f t="shared" si="25"/>
        <v>1</v>
      </c>
      <c r="BJ29" s="130" t="str">
        <f t="shared" si="26"/>
        <v/>
      </c>
      <c r="BK29" s="130" t="str">
        <f t="shared" si="27"/>
        <v/>
      </c>
      <c r="BL29" s="130">
        <f t="shared" si="28"/>
        <v>1</v>
      </c>
      <c r="BM29" s="130">
        <f t="shared" si="29"/>
        <v>1</v>
      </c>
      <c r="BN29" s="130" t="str">
        <f t="shared" si="30"/>
        <v/>
      </c>
      <c r="BO29" s="130">
        <f t="shared" si="31"/>
        <v>1</v>
      </c>
      <c r="BP29" s="130">
        <f t="shared" si="32"/>
        <v>1</v>
      </c>
      <c r="BQ29" s="130" t="str">
        <f t="shared" si="33"/>
        <v/>
      </c>
      <c r="BR29" s="130" t="str">
        <f t="shared" si="34"/>
        <v/>
      </c>
      <c r="BS29" s="130" t="str">
        <f t="shared" si="35"/>
        <v/>
      </c>
      <c r="BT29" s="130">
        <f t="shared" si="36"/>
        <v>1</v>
      </c>
      <c r="BU29" s="130" t="str">
        <f t="shared" si="37"/>
        <v/>
      </c>
      <c r="BV29" s="130" t="str">
        <f t="shared" si="38"/>
        <v/>
      </c>
      <c r="BW29" s="130">
        <f t="shared" si="39"/>
        <v>1</v>
      </c>
      <c r="BX29" s="130" t="str">
        <f t="shared" si="40"/>
        <v/>
      </c>
      <c r="BY29" s="130" t="str">
        <f t="shared" si="41"/>
        <v/>
      </c>
      <c r="BZ29" s="130">
        <f t="shared" si="42"/>
        <v>1</v>
      </c>
      <c r="CA29" s="130">
        <f t="shared" si="43"/>
        <v>1</v>
      </c>
      <c r="CB29" s="130" t="str">
        <f t="shared" si="44"/>
        <v/>
      </c>
      <c r="CC29" s="130" t="str">
        <f t="shared" si="45"/>
        <v/>
      </c>
      <c r="CD29" s="130" t="str">
        <f t="shared" si="46"/>
        <v/>
      </c>
      <c r="CE29" s="130">
        <f t="shared" si="47"/>
        <v>1</v>
      </c>
      <c r="CF29" s="130" t="str">
        <f t="shared" si="48"/>
        <v/>
      </c>
      <c r="CG29" s="130">
        <f t="shared" si="49"/>
        <v>1</v>
      </c>
      <c r="CH29" s="130">
        <f t="shared" si="50"/>
        <v>1</v>
      </c>
      <c r="CI29" s="130">
        <f t="shared" si="51"/>
        <v>1</v>
      </c>
      <c r="CJ29" s="130" t="str">
        <f t="shared" si="52"/>
        <v/>
      </c>
      <c r="CK29" s="130" t="str">
        <f t="shared" si="53"/>
        <v/>
      </c>
      <c r="CL29" s="130" t="str">
        <f t="shared" si="54"/>
        <v/>
      </c>
      <c r="CM29" s="130" t="str">
        <f t="shared" si="55"/>
        <v/>
      </c>
      <c r="CN29" s="130" t="str">
        <f t="shared" si="56"/>
        <v/>
      </c>
      <c r="CO29" s="130" t="str">
        <f t="shared" si="57"/>
        <v/>
      </c>
      <c r="CP29" s="130" t="str">
        <f t="shared" si="58"/>
        <v/>
      </c>
    </row>
    <row r="30" spans="1:94" s="90" customFormat="1" ht="15.95" customHeight="1" x14ac:dyDescent="0.3">
      <c r="A30" s="738"/>
      <c r="B30" s="93">
        <v>4</v>
      </c>
      <c r="C30" s="241" t="s">
        <v>345</v>
      </c>
      <c r="D30" s="384" t="s">
        <v>13</v>
      </c>
      <c r="E30" s="384" t="s">
        <v>59</v>
      </c>
      <c r="F30" s="384" t="s">
        <v>54</v>
      </c>
      <c r="G30" s="384" t="s">
        <v>50</v>
      </c>
      <c r="H30" s="384" t="s">
        <v>504</v>
      </c>
      <c r="I30" s="384" t="s">
        <v>68</v>
      </c>
      <c r="J30" s="384" t="s">
        <v>96</v>
      </c>
      <c r="K30" s="384" t="s">
        <v>81</v>
      </c>
      <c r="L30" s="384" t="s">
        <v>79</v>
      </c>
      <c r="M30" s="384" t="s">
        <v>63</v>
      </c>
      <c r="N30" s="384" t="s">
        <v>95</v>
      </c>
      <c r="O30" s="384" t="s">
        <v>80</v>
      </c>
      <c r="P30" s="384" t="s">
        <v>67</v>
      </c>
      <c r="Q30" s="384" t="s">
        <v>190</v>
      </c>
      <c r="R30" s="384" t="s">
        <v>69</v>
      </c>
      <c r="S30" s="384" t="s">
        <v>78</v>
      </c>
      <c r="T30" s="384" t="s">
        <v>73</v>
      </c>
      <c r="U30" s="384" t="s">
        <v>57</v>
      </c>
      <c r="V30" s="384" t="s">
        <v>66</v>
      </c>
      <c r="W30" s="384" t="s">
        <v>97</v>
      </c>
      <c r="X30" s="384" t="s">
        <v>61</v>
      </c>
      <c r="Y30" s="384" t="s">
        <v>45</v>
      </c>
      <c r="Z30" s="384" t="s">
        <v>46</v>
      </c>
      <c r="AA30" s="384" t="s">
        <v>91</v>
      </c>
      <c r="AB30" s="384" t="s">
        <v>47</v>
      </c>
      <c r="AC30" s="384" t="s">
        <v>49</v>
      </c>
      <c r="AD30" s="384" t="s">
        <v>220</v>
      </c>
      <c r="AE30" s="560" t="s">
        <v>85</v>
      </c>
      <c r="AF30" s="130">
        <f t="shared" si="63"/>
        <v>1</v>
      </c>
      <c r="AG30" s="130">
        <f t="shared" si="59"/>
        <v>1</v>
      </c>
      <c r="AH30" s="130">
        <f t="shared" si="60"/>
        <v>1</v>
      </c>
      <c r="AI30" s="130">
        <f t="shared" si="61"/>
        <v>1</v>
      </c>
      <c r="AJ30" s="130" t="str">
        <f t="shared" si="62"/>
        <v/>
      </c>
      <c r="AK30" s="130">
        <f t="shared" si="1"/>
        <v>1</v>
      </c>
      <c r="AL30" s="130">
        <f t="shared" si="2"/>
        <v>1</v>
      </c>
      <c r="AM30" s="130" t="str">
        <f t="shared" si="3"/>
        <v/>
      </c>
      <c r="AN30" s="130"/>
      <c r="AO30" s="130" t="str">
        <f t="shared" si="5"/>
        <v/>
      </c>
      <c r="AP30" s="130">
        <f t="shared" si="6"/>
        <v>1</v>
      </c>
      <c r="AQ30" s="130" t="str">
        <f t="shared" si="7"/>
        <v/>
      </c>
      <c r="AR30" s="130" t="str">
        <f t="shared" si="8"/>
        <v/>
      </c>
      <c r="AS30" s="130" t="str">
        <f t="shared" si="9"/>
        <v/>
      </c>
      <c r="AT30" s="130">
        <f t="shared" si="10"/>
        <v>1</v>
      </c>
      <c r="AU30" s="130" t="str">
        <f t="shared" si="11"/>
        <v/>
      </c>
      <c r="AV30" s="130">
        <f t="shared" si="12"/>
        <v>1</v>
      </c>
      <c r="AW30" s="130" t="str">
        <f t="shared" si="13"/>
        <v/>
      </c>
      <c r="AX30" s="130">
        <f t="shared" si="14"/>
        <v>1</v>
      </c>
      <c r="AY30" s="130" t="str">
        <f t="shared" si="15"/>
        <v/>
      </c>
      <c r="AZ30" s="130">
        <f t="shared" si="16"/>
        <v>1</v>
      </c>
      <c r="BA30" s="130" t="str">
        <f t="shared" si="17"/>
        <v/>
      </c>
      <c r="BB30" s="130">
        <f t="shared" si="18"/>
        <v>1</v>
      </c>
      <c r="BC30" s="130">
        <f t="shared" si="19"/>
        <v>1</v>
      </c>
      <c r="BD30" s="130">
        <f t="shared" si="20"/>
        <v>1</v>
      </c>
      <c r="BE30" s="130">
        <f t="shared" si="21"/>
        <v>1</v>
      </c>
      <c r="BF30" s="130" t="str">
        <f t="shared" si="22"/>
        <v/>
      </c>
      <c r="BG30" s="130" t="str">
        <f t="shared" si="23"/>
        <v/>
      </c>
      <c r="BH30" s="130">
        <f t="shared" si="24"/>
        <v>1</v>
      </c>
      <c r="BI30" s="130" t="str">
        <f t="shared" si="25"/>
        <v/>
      </c>
      <c r="BJ30" s="130" t="str">
        <f t="shared" si="26"/>
        <v/>
      </c>
      <c r="BK30" s="130" t="str">
        <f t="shared" si="27"/>
        <v/>
      </c>
      <c r="BL30" s="130" t="str">
        <f t="shared" si="28"/>
        <v/>
      </c>
      <c r="BM30" s="130">
        <f t="shared" si="29"/>
        <v>1</v>
      </c>
      <c r="BN30" s="130">
        <f t="shared" si="30"/>
        <v>1</v>
      </c>
      <c r="BO30" s="130">
        <f t="shared" si="31"/>
        <v>1</v>
      </c>
      <c r="BP30" s="130">
        <f t="shared" si="32"/>
        <v>1</v>
      </c>
      <c r="BQ30" s="130" t="str">
        <f t="shared" si="33"/>
        <v/>
      </c>
      <c r="BR30" s="130" t="str">
        <f t="shared" si="34"/>
        <v/>
      </c>
      <c r="BS30" s="130" t="str">
        <f t="shared" si="35"/>
        <v/>
      </c>
      <c r="BT30" s="130" t="str">
        <f t="shared" si="36"/>
        <v/>
      </c>
      <c r="BU30" s="130" t="str">
        <f t="shared" si="37"/>
        <v/>
      </c>
      <c r="BV30" s="130" t="str">
        <f t="shared" si="38"/>
        <v/>
      </c>
      <c r="BW30" s="130">
        <f t="shared" si="39"/>
        <v>1</v>
      </c>
      <c r="BX30" s="130" t="str">
        <f t="shared" si="40"/>
        <v/>
      </c>
      <c r="BY30" s="130">
        <f t="shared" si="41"/>
        <v>1</v>
      </c>
      <c r="BZ30" s="130" t="str">
        <f t="shared" si="42"/>
        <v/>
      </c>
      <c r="CA30" s="130">
        <f t="shared" si="43"/>
        <v>1</v>
      </c>
      <c r="CB30" s="130" t="str">
        <f t="shared" si="44"/>
        <v/>
      </c>
      <c r="CC30" s="130">
        <f t="shared" si="45"/>
        <v>1</v>
      </c>
      <c r="CD30" s="130" t="str">
        <f t="shared" si="46"/>
        <v/>
      </c>
      <c r="CE30" s="130">
        <f t="shared" si="47"/>
        <v>1</v>
      </c>
      <c r="CF30" s="130" t="str">
        <f t="shared" si="48"/>
        <v/>
      </c>
      <c r="CG30" s="130">
        <f t="shared" si="49"/>
        <v>1</v>
      </c>
      <c r="CH30" s="130">
        <f t="shared" si="50"/>
        <v>1</v>
      </c>
      <c r="CI30" s="130">
        <f t="shared" si="51"/>
        <v>1</v>
      </c>
      <c r="CJ30" s="130" t="str">
        <f t="shared" si="52"/>
        <v/>
      </c>
      <c r="CK30" s="130" t="str">
        <f t="shared" si="53"/>
        <v/>
      </c>
      <c r="CL30" s="130" t="str">
        <f t="shared" si="54"/>
        <v/>
      </c>
      <c r="CM30" s="130" t="str">
        <f t="shared" si="55"/>
        <v/>
      </c>
      <c r="CN30" s="130" t="str">
        <f t="shared" si="56"/>
        <v/>
      </c>
      <c r="CO30" s="130" t="str">
        <f t="shared" si="57"/>
        <v/>
      </c>
      <c r="CP30" s="130" t="str">
        <f t="shared" si="58"/>
        <v/>
      </c>
    </row>
    <row r="31" spans="1:94" s="90" customFormat="1" ht="14.1" customHeight="1" x14ac:dyDescent="0.3">
      <c r="A31" s="739"/>
      <c r="B31" s="94">
        <v>5</v>
      </c>
      <c r="C31" s="242" t="s">
        <v>346</v>
      </c>
      <c r="D31" s="538" t="s">
        <v>310</v>
      </c>
      <c r="E31" s="538" t="s">
        <v>310</v>
      </c>
      <c r="F31" s="538" t="s">
        <v>310</v>
      </c>
      <c r="G31" s="538" t="s">
        <v>310</v>
      </c>
      <c r="H31" s="538" t="s">
        <v>310</v>
      </c>
      <c r="I31" s="538" t="s">
        <v>310</v>
      </c>
      <c r="J31" s="538" t="s">
        <v>310</v>
      </c>
      <c r="K31" s="538" t="s">
        <v>310</v>
      </c>
      <c r="L31" s="538" t="s">
        <v>310</v>
      </c>
      <c r="M31" s="538" t="s">
        <v>310</v>
      </c>
      <c r="N31" s="538" t="s">
        <v>310</v>
      </c>
      <c r="O31" s="538" t="s">
        <v>310</v>
      </c>
      <c r="P31" s="538" t="s">
        <v>310</v>
      </c>
      <c r="Q31" s="538" t="s">
        <v>310</v>
      </c>
      <c r="R31" s="538" t="s">
        <v>310</v>
      </c>
      <c r="S31" s="538" t="s">
        <v>310</v>
      </c>
      <c r="T31" s="538" t="s">
        <v>310</v>
      </c>
      <c r="U31" s="538" t="s">
        <v>310</v>
      </c>
      <c r="V31" s="538" t="s">
        <v>310</v>
      </c>
      <c r="W31" s="538" t="s">
        <v>310</v>
      </c>
      <c r="X31" s="538" t="s">
        <v>310</v>
      </c>
      <c r="Y31" s="538" t="s">
        <v>310</v>
      </c>
      <c r="Z31" s="538" t="s">
        <v>310</v>
      </c>
      <c r="AA31" s="538" t="s">
        <v>310</v>
      </c>
      <c r="AB31" s="538" t="s">
        <v>310</v>
      </c>
      <c r="AC31" s="538" t="s">
        <v>310</v>
      </c>
      <c r="AD31" s="538" t="s">
        <v>310</v>
      </c>
      <c r="AE31" s="539" t="s">
        <v>310</v>
      </c>
      <c r="AF31" s="130" t="str">
        <f t="shared" si="63"/>
        <v/>
      </c>
      <c r="AG31" s="130" t="str">
        <f t="shared" si="59"/>
        <v/>
      </c>
      <c r="AH31" s="130" t="str">
        <f t="shared" si="60"/>
        <v/>
      </c>
      <c r="AI31" s="130" t="str">
        <f t="shared" si="61"/>
        <v/>
      </c>
      <c r="AJ31" s="130" t="str">
        <f t="shared" si="62"/>
        <v/>
      </c>
      <c r="AK31" s="130" t="str">
        <f t="shared" si="1"/>
        <v/>
      </c>
      <c r="AL31" s="130" t="str">
        <f t="shared" si="2"/>
        <v/>
      </c>
      <c r="AM31" s="130" t="str">
        <f t="shared" si="3"/>
        <v/>
      </c>
      <c r="AN31" s="130" t="str">
        <f>IF(COUNTIF($D31:$AE31,"TT5")&gt;=1,COUNTIF($D31:$AE31,"TT5"),"")</f>
        <v/>
      </c>
      <c r="AO31" s="130" t="str">
        <f t="shared" si="5"/>
        <v/>
      </c>
      <c r="AP31" s="130" t="str">
        <f t="shared" si="6"/>
        <v/>
      </c>
      <c r="AQ31" s="130" t="str">
        <f t="shared" si="7"/>
        <v/>
      </c>
      <c r="AR31" s="130" t="str">
        <f t="shared" si="8"/>
        <v/>
      </c>
      <c r="AS31" s="130" t="str">
        <f t="shared" si="9"/>
        <v/>
      </c>
      <c r="AT31" s="130" t="str">
        <f t="shared" si="10"/>
        <v/>
      </c>
      <c r="AU31" s="130" t="str">
        <f t="shared" si="11"/>
        <v/>
      </c>
      <c r="AV31" s="130" t="str">
        <f t="shared" si="12"/>
        <v/>
      </c>
      <c r="AW31" s="130" t="str">
        <f t="shared" si="13"/>
        <v/>
      </c>
      <c r="AX31" s="130" t="str">
        <f t="shared" si="14"/>
        <v/>
      </c>
      <c r="AY31" s="130" t="str">
        <f t="shared" si="15"/>
        <v/>
      </c>
      <c r="AZ31" s="130" t="str">
        <f t="shared" si="16"/>
        <v/>
      </c>
      <c r="BA31" s="130" t="str">
        <f t="shared" si="17"/>
        <v/>
      </c>
      <c r="BB31" s="130" t="str">
        <f t="shared" si="18"/>
        <v/>
      </c>
      <c r="BC31" s="130" t="str">
        <f t="shared" si="19"/>
        <v/>
      </c>
      <c r="BD31" s="130" t="str">
        <f t="shared" si="20"/>
        <v/>
      </c>
      <c r="BE31" s="130" t="str">
        <f t="shared" si="21"/>
        <v/>
      </c>
      <c r="BF31" s="130" t="str">
        <f t="shared" si="22"/>
        <v/>
      </c>
      <c r="BG31" s="130" t="str">
        <f t="shared" si="23"/>
        <v/>
      </c>
      <c r="BH31" s="130" t="str">
        <f t="shared" si="24"/>
        <v/>
      </c>
      <c r="BI31" s="130" t="str">
        <f t="shared" si="25"/>
        <v/>
      </c>
      <c r="BJ31" s="130" t="str">
        <f t="shared" si="26"/>
        <v/>
      </c>
      <c r="BK31" s="130" t="str">
        <f t="shared" si="27"/>
        <v/>
      </c>
      <c r="BL31" s="130" t="str">
        <f t="shared" si="28"/>
        <v/>
      </c>
      <c r="BM31" s="130" t="str">
        <f t="shared" si="29"/>
        <v/>
      </c>
      <c r="BN31" s="130" t="str">
        <f t="shared" si="30"/>
        <v/>
      </c>
      <c r="BO31" s="130" t="str">
        <f t="shared" si="31"/>
        <v/>
      </c>
      <c r="BP31" s="130" t="str">
        <f t="shared" si="32"/>
        <v/>
      </c>
      <c r="BQ31" s="130" t="str">
        <f t="shared" si="33"/>
        <v/>
      </c>
      <c r="BR31" s="130" t="str">
        <f t="shared" si="34"/>
        <v/>
      </c>
      <c r="BS31" s="130" t="str">
        <f t="shared" si="35"/>
        <v/>
      </c>
      <c r="BT31" s="130" t="str">
        <f t="shared" si="36"/>
        <v/>
      </c>
      <c r="BU31" s="130" t="str">
        <f t="shared" si="37"/>
        <v/>
      </c>
      <c r="BV31" s="130" t="str">
        <f t="shared" si="38"/>
        <v/>
      </c>
      <c r="BW31" s="130" t="str">
        <f t="shared" si="39"/>
        <v/>
      </c>
      <c r="BX31" s="130" t="str">
        <f t="shared" si="40"/>
        <v/>
      </c>
      <c r="BY31" s="130" t="str">
        <f t="shared" si="41"/>
        <v/>
      </c>
      <c r="BZ31" s="130" t="str">
        <f t="shared" si="42"/>
        <v/>
      </c>
      <c r="CA31" s="130" t="str">
        <f t="shared" si="43"/>
        <v/>
      </c>
      <c r="CB31" s="130" t="str">
        <f t="shared" si="44"/>
        <v/>
      </c>
      <c r="CC31" s="130" t="str">
        <f t="shared" si="45"/>
        <v/>
      </c>
      <c r="CD31" s="130" t="str">
        <f t="shared" si="46"/>
        <v/>
      </c>
      <c r="CE31" s="130" t="str">
        <f t="shared" si="47"/>
        <v/>
      </c>
      <c r="CF31" s="130" t="str">
        <f t="shared" si="48"/>
        <v/>
      </c>
      <c r="CG31" s="130" t="str">
        <f t="shared" si="49"/>
        <v/>
      </c>
      <c r="CH31" s="130" t="str">
        <f t="shared" si="50"/>
        <v/>
      </c>
      <c r="CI31" s="130" t="str">
        <f t="shared" si="51"/>
        <v/>
      </c>
      <c r="CJ31" s="130" t="str">
        <f t="shared" si="52"/>
        <v/>
      </c>
      <c r="CK31" s="130" t="str">
        <f t="shared" si="53"/>
        <v/>
      </c>
      <c r="CL31" s="130" t="str">
        <f t="shared" si="54"/>
        <v/>
      </c>
      <c r="CM31" s="130" t="str">
        <f t="shared" si="55"/>
        <v/>
      </c>
      <c r="CN31" s="130" t="str">
        <f t="shared" si="56"/>
        <v/>
      </c>
      <c r="CO31" s="130" t="str">
        <f t="shared" si="57"/>
        <v/>
      </c>
      <c r="CP31" s="130" t="str">
        <f t="shared" si="58"/>
        <v/>
      </c>
    </row>
    <row r="32" spans="1:94" s="90" customFormat="1" ht="15.95" customHeight="1" x14ac:dyDescent="0.3">
      <c r="A32" s="737">
        <v>7</v>
      </c>
      <c r="B32" s="92">
        <v>1</v>
      </c>
      <c r="C32" s="240" t="s">
        <v>301</v>
      </c>
      <c r="D32" s="520" t="s">
        <v>81</v>
      </c>
      <c r="E32" s="520" t="s">
        <v>54</v>
      </c>
      <c r="F32" s="520" t="s">
        <v>103</v>
      </c>
      <c r="G32" s="520" t="s">
        <v>59</v>
      </c>
      <c r="H32" s="520" t="s">
        <v>504</v>
      </c>
      <c r="I32" s="520" t="s">
        <v>68</v>
      </c>
      <c r="J32" s="520" t="s">
        <v>50</v>
      </c>
      <c r="K32" s="520" t="s">
        <v>51</v>
      </c>
      <c r="L32" s="521"/>
      <c r="M32" s="521"/>
      <c r="N32" s="521"/>
      <c r="O32" s="521"/>
      <c r="P32" s="521"/>
      <c r="Q32" s="521"/>
      <c r="R32" s="520"/>
      <c r="S32" s="520"/>
      <c r="T32" s="521"/>
      <c r="U32" s="521"/>
      <c r="V32" s="520" t="s">
        <v>66</v>
      </c>
      <c r="W32" s="520" t="s">
        <v>47</v>
      </c>
      <c r="X32" s="520" t="s">
        <v>74</v>
      </c>
      <c r="Y32" s="520" t="s">
        <v>45</v>
      </c>
      <c r="Z32" s="520" t="s">
        <v>72</v>
      </c>
      <c r="AA32" s="520" t="s">
        <v>91</v>
      </c>
      <c r="AB32" s="520" t="s">
        <v>61</v>
      </c>
      <c r="AC32" s="520" t="s">
        <v>90</v>
      </c>
      <c r="AD32" s="520" t="s">
        <v>58</v>
      </c>
      <c r="AE32" s="522" t="s">
        <v>85</v>
      </c>
      <c r="AF32" s="131" t="str">
        <f t="shared" si="63"/>
        <v/>
      </c>
      <c r="AG32" s="131">
        <f t="shared" si="59"/>
        <v>1</v>
      </c>
      <c r="AH32" s="131" t="str">
        <f t="shared" si="60"/>
        <v/>
      </c>
      <c r="AI32" s="131">
        <f t="shared" si="61"/>
        <v>1</v>
      </c>
      <c r="AJ32" s="131" t="str">
        <f t="shared" si="62"/>
        <v/>
      </c>
      <c r="AK32" s="131" t="str">
        <f t="shared" si="1"/>
        <v/>
      </c>
      <c r="AL32" s="131">
        <f t="shared" si="2"/>
        <v>1</v>
      </c>
      <c r="AM32" s="131">
        <f t="shared" si="3"/>
        <v>1</v>
      </c>
      <c r="AN32" s="131" t="str">
        <f t="shared" ref="AN32:AN34" si="64">IF(COUNTIF($D32:$AE32,"TT5")&gt;=1,COUNTIF($D32:$AE32,"TT5"),"")</f>
        <v/>
      </c>
      <c r="AO32" s="131" t="str">
        <f t="shared" si="5"/>
        <v/>
      </c>
      <c r="AP32" s="131">
        <f t="shared" si="6"/>
        <v>1</v>
      </c>
      <c r="AQ32" s="131" t="str">
        <f t="shared" si="7"/>
        <v/>
      </c>
      <c r="AR32" s="131" t="str">
        <f t="shared" si="8"/>
        <v/>
      </c>
      <c r="AS32" s="131" t="str">
        <f t="shared" si="9"/>
        <v/>
      </c>
      <c r="AT32" s="131" t="str">
        <f t="shared" si="10"/>
        <v/>
      </c>
      <c r="AU32" s="131">
        <f t="shared" si="11"/>
        <v>1</v>
      </c>
      <c r="AV32" s="131">
        <f t="shared" si="12"/>
        <v>1</v>
      </c>
      <c r="AW32" s="131" t="str">
        <f t="shared" si="13"/>
        <v/>
      </c>
      <c r="AX32" s="131">
        <f t="shared" si="14"/>
        <v>1</v>
      </c>
      <c r="AY32" s="131" t="str">
        <f t="shared" si="15"/>
        <v/>
      </c>
      <c r="AZ32" s="131" t="str">
        <f t="shared" si="16"/>
        <v/>
      </c>
      <c r="BA32" s="131" t="str">
        <f t="shared" si="17"/>
        <v/>
      </c>
      <c r="BB32" s="131">
        <f t="shared" si="18"/>
        <v>1</v>
      </c>
      <c r="BC32" s="131" t="str">
        <f t="shared" si="19"/>
        <v/>
      </c>
      <c r="BD32" s="131">
        <f t="shared" si="20"/>
        <v>1</v>
      </c>
      <c r="BE32" s="131" t="str">
        <f t="shared" si="21"/>
        <v/>
      </c>
      <c r="BF32" s="131" t="str">
        <f t="shared" si="22"/>
        <v/>
      </c>
      <c r="BG32" s="131">
        <f t="shared" si="23"/>
        <v>1</v>
      </c>
      <c r="BH32" s="131" t="str">
        <f t="shared" si="24"/>
        <v/>
      </c>
      <c r="BI32" s="131">
        <f t="shared" si="25"/>
        <v>1</v>
      </c>
      <c r="BJ32" s="131" t="str">
        <f t="shared" si="26"/>
        <v/>
      </c>
      <c r="BK32" s="131" t="str">
        <f t="shared" si="27"/>
        <v/>
      </c>
      <c r="BL32" s="131" t="str">
        <f t="shared" si="28"/>
        <v/>
      </c>
      <c r="BM32" s="131" t="str">
        <f t="shared" si="29"/>
        <v/>
      </c>
      <c r="BN32" s="131" t="str">
        <f t="shared" si="30"/>
        <v/>
      </c>
      <c r="BO32" s="131" t="str">
        <f t="shared" si="31"/>
        <v/>
      </c>
      <c r="BP32" s="131">
        <f t="shared" si="32"/>
        <v>1</v>
      </c>
      <c r="BQ32" s="131" t="str">
        <f t="shared" si="33"/>
        <v/>
      </c>
      <c r="BR32" s="131" t="str">
        <f t="shared" si="34"/>
        <v/>
      </c>
      <c r="BS32" s="131" t="str">
        <f t="shared" si="35"/>
        <v/>
      </c>
      <c r="BT32" s="131" t="str">
        <f t="shared" si="36"/>
        <v/>
      </c>
      <c r="BU32" s="131" t="str">
        <f t="shared" si="37"/>
        <v/>
      </c>
      <c r="BV32" s="131" t="str">
        <f t="shared" si="38"/>
        <v/>
      </c>
      <c r="BW32" s="131">
        <f t="shared" si="39"/>
        <v>1</v>
      </c>
      <c r="BX32" s="131" t="str">
        <f t="shared" si="40"/>
        <v/>
      </c>
      <c r="BY32" s="131">
        <f t="shared" si="41"/>
        <v>1</v>
      </c>
      <c r="BZ32" s="131">
        <f t="shared" si="42"/>
        <v>1</v>
      </c>
      <c r="CA32" s="131">
        <f t="shared" si="43"/>
        <v>1</v>
      </c>
      <c r="CB32" s="131" t="str">
        <f t="shared" si="44"/>
        <v/>
      </c>
      <c r="CC32" s="131" t="str">
        <f t="shared" si="45"/>
        <v/>
      </c>
      <c r="CD32" s="131" t="str">
        <f t="shared" si="46"/>
        <v/>
      </c>
      <c r="CE32" s="131" t="str">
        <f t="shared" si="47"/>
        <v/>
      </c>
      <c r="CF32" s="131" t="str">
        <f t="shared" si="48"/>
        <v/>
      </c>
      <c r="CG32" s="131" t="str">
        <f t="shared" si="49"/>
        <v/>
      </c>
      <c r="CH32" s="131" t="str">
        <f t="shared" si="50"/>
        <v/>
      </c>
      <c r="CI32" s="131" t="str">
        <f t="shared" si="51"/>
        <v/>
      </c>
      <c r="CJ32" s="131" t="str">
        <f t="shared" si="52"/>
        <v/>
      </c>
      <c r="CK32" s="131" t="str">
        <f t="shared" si="53"/>
        <v/>
      </c>
      <c r="CL32" s="131" t="str">
        <f t="shared" si="54"/>
        <v/>
      </c>
      <c r="CM32" s="131" t="str">
        <f t="shared" si="55"/>
        <v/>
      </c>
      <c r="CN32" s="131" t="str">
        <f t="shared" si="56"/>
        <v/>
      </c>
      <c r="CO32" s="131">
        <f t="shared" si="57"/>
        <v>1</v>
      </c>
      <c r="CP32" s="131" t="str">
        <f t="shared" si="58"/>
        <v/>
      </c>
    </row>
    <row r="33" spans="1:94" s="90" customFormat="1" ht="15.95" customHeight="1" x14ac:dyDescent="0.3">
      <c r="A33" s="738"/>
      <c r="B33" s="93">
        <v>2</v>
      </c>
      <c r="C33" s="241" t="s">
        <v>303</v>
      </c>
      <c r="D33" s="523"/>
      <c r="E33" s="524"/>
      <c r="F33" s="525"/>
      <c r="G33" s="525"/>
      <c r="H33" s="525"/>
      <c r="I33" s="525"/>
      <c r="J33" s="525"/>
      <c r="K33" s="525"/>
      <c r="L33" s="526"/>
      <c r="M33" s="526"/>
      <c r="N33" s="527" t="s">
        <v>519</v>
      </c>
      <c r="O33" s="528"/>
      <c r="P33" s="526"/>
      <c r="Q33" s="526"/>
      <c r="R33" s="526"/>
      <c r="S33" s="526"/>
      <c r="T33" s="526"/>
      <c r="U33" s="526"/>
      <c r="V33" s="526"/>
      <c r="W33" s="526"/>
      <c r="X33" s="526"/>
      <c r="Y33" s="526"/>
      <c r="Z33" s="526"/>
      <c r="AA33" s="526"/>
      <c r="AB33" s="526"/>
      <c r="AC33" s="526"/>
      <c r="AD33" s="526"/>
      <c r="AE33" s="529"/>
      <c r="AF33" s="131" t="str">
        <f t="shared" si="63"/>
        <v/>
      </c>
      <c r="AG33" s="131" t="str">
        <f t="shared" si="59"/>
        <v/>
      </c>
      <c r="AH33" s="131" t="str">
        <f t="shared" si="60"/>
        <v/>
      </c>
      <c r="AI33" s="131" t="str">
        <f t="shared" si="61"/>
        <v/>
      </c>
      <c r="AJ33" s="131" t="str">
        <f t="shared" si="62"/>
        <v/>
      </c>
      <c r="AK33" s="131" t="str">
        <f t="shared" si="1"/>
        <v/>
      </c>
      <c r="AL33" s="131" t="str">
        <f t="shared" si="2"/>
        <v/>
      </c>
      <c r="AM33" s="131" t="str">
        <f t="shared" si="3"/>
        <v/>
      </c>
      <c r="AN33" s="131" t="str">
        <f t="shared" si="64"/>
        <v/>
      </c>
      <c r="AO33" s="131" t="str">
        <f t="shared" si="5"/>
        <v/>
      </c>
      <c r="AP33" s="131" t="str">
        <f t="shared" si="6"/>
        <v/>
      </c>
      <c r="AQ33" s="131" t="str">
        <f t="shared" si="7"/>
        <v/>
      </c>
      <c r="AR33" s="131" t="str">
        <f t="shared" si="8"/>
        <v/>
      </c>
      <c r="AS33" s="131" t="str">
        <f t="shared" si="9"/>
        <v/>
      </c>
      <c r="AT33" s="131" t="str">
        <f t="shared" si="10"/>
        <v/>
      </c>
      <c r="AU33" s="131" t="str">
        <f t="shared" si="11"/>
        <v/>
      </c>
      <c r="AV33" s="131" t="str">
        <f t="shared" si="12"/>
        <v/>
      </c>
      <c r="AW33" s="131" t="str">
        <f t="shared" si="13"/>
        <v/>
      </c>
      <c r="AX33" s="131" t="str">
        <f t="shared" si="14"/>
        <v/>
      </c>
      <c r="AY33" s="131" t="str">
        <f t="shared" si="15"/>
        <v/>
      </c>
      <c r="AZ33" s="131" t="str">
        <f t="shared" si="16"/>
        <v/>
      </c>
      <c r="BA33" s="131" t="str">
        <f t="shared" si="17"/>
        <v/>
      </c>
      <c r="BB33" s="131" t="str">
        <f t="shared" si="18"/>
        <v/>
      </c>
      <c r="BC33" s="131" t="str">
        <f t="shared" si="19"/>
        <v/>
      </c>
      <c r="BD33" s="131" t="str">
        <f t="shared" si="20"/>
        <v/>
      </c>
      <c r="BE33" s="131" t="str">
        <f t="shared" si="21"/>
        <v/>
      </c>
      <c r="BF33" s="131" t="str">
        <f t="shared" si="22"/>
        <v/>
      </c>
      <c r="BG33" s="131" t="str">
        <f t="shared" si="23"/>
        <v/>
      </c>
      <c r="BH33" s="131" t="str">
        <f t="shared" si="24"/>
        <v/>
      </c>
      <c r="BI33" s="131" t="str">
        <f t="shared" si="25"/>
        <v/>
      </c>
      <c r="BJ33" s="131" t="str">
        <f t="shared" si="26"/>
        <v/>
      </c>
      <c r="BK33" s="131" t="str">
        <f t="shared" si="27"/>
        <v/>
      </c>
      <c r="BL33" s="131" t="str">
        <f t="shared" si="28"/>
        <v/>
      </c>
      <c r="BM33" s="131" t="str">
        <f t="shared" si="29"/>
        <v/>
      </c>
      <c r="BN33" s="131" t="str">
        <f t="shared" si="30"/>
        <v/>
      </c>
      <c r="BO33" s="131" t="str">
        <f t="shared" si="31"/>
        <v/>
      </c>
      <c r="BP33" s="131" t="str">
        <f t="shared" si="32"/>
        <v/>
      </c>
      <c r="BQ33" s="131" t="str">
        <f t="shared" si="33"/>
        <v/>
      </c>
      <c r="BR33" s="131" t="str">
        <f t="shared" si="34"/>
        <v/>
      </c>
      <c r="BS33" s="131" t="str">
        <f t="shared" si="35"/>
        <v/>
      </c>
      <c r="BT33" s="131" t="str">
        <f t="shared" si="36"/>
        <v/>
      </c>
      <c r="BU33" s="131" t="str">
        <f t="shared" si="37"/>
        <v/>
      </c>
      <c r="BV33" s="131" t="str">
        <f t="shared" si="38"/>
        <v/>
      </c>
      <c r="BW33" s="131" t="str">
        <f t="shared" si="39"/>
        <v/>
      </c>
      <c r="BX33" s="131" t="str">
        <f t="shared" si="40"/>
        <v/>
      </c>
      <c r="BY33" s="131" t="str">
        <f t="shared" si="41"/>
        <v/>
      </c>
      <c r="BZ33" s="131" t="str">
        <f t="shared" si="42"/>
        <v/>
      </c>
      <c r="CA33" s="131" t="str">
        <f t="shared" si="43"/>
        <v/>
      </c>
      <c r="CB33" s="131" t="str">
        <f t="shared" si="44"/>
        <v/>
      </c>
      <c r="CC33" s="131" t="str">
        <f t="shared" si="45"/>
        <v/>
      </c>
      <c r="CD33" s="131" t="str">
        <f t="shared" si="46"/>
        <v/>
      </c>
      <c r="CE33" s="131" t="str">
        <f t="shared" si="47"/>
        <v/>
      </c>
      <c r="CF33" s="131" t="str">
        <f t="shared" si="48"/>
        <v/>
      </c>
      <c r="CG33" s="131" t="str">
        <f t="shared" si="49"/>
        <v/>
      </c>
      <c r="CH33" s="131" t="str">
        <f t="shared" si="50"/>
        <v/>
      </c>
      <c r="CI33" s="131" t="str">
        <f t="shared" si="51"/>
        <v/>
      </c>
      <c r="CJ33" s="131" t="str">
        <f t="shared" si="52"/>
        <v/>
      </c>
      <c r="CK33" s="131" t="str">
        <f t="shared" si="53"/>
        <v/>
      </c>
      <c r="CL33" s="131" t="str">
        <f t="shared" si="54"/>
        <v/>
      </c>
      <c r="CM33" s="131" t="str">
        <f t="shared" si="55"/>
        <v/>
      </c>
      <c r="CN33" s="131" t="str">
        <f t="shared" si="56"/>
        <v/>
      </c>
      <c r="CO33" s="131" t="str">
        <f t="shared" si="57"/>
        <v/>
      </c>
      <c r="CP33" s="131" t="str">
        <f t="shared" si="58"/>
        <v/>
      </c>
    </row>
    <row r="34" spans="1:94" s="90" customFormat="1" ht="15.95" customHeight="1" thickBot="1" x14ac:dyDescent="0.35">
      <c r="A34" s="745"/>
      <c r="B34" s="263"/>
      <c r="C34" s="264"/>
      <c r="D34" s="530"/>
      <c r="E34" s="531"/>
      <c r="F34" s="532"/>
      <c r="G34" s="532"/>
      <c r="H34" s="532"/>
      <c r="I34" s="532"/>
      <c r="J34" s="532"/>
      <c r="K34" s="532"/>
      <c r="L34" s="532"/>
      <c r="M34" s="532"/>
      <c r="N34" s="530" t="s">
        <v>522</v>
      </c>
      <c r="O34" s="531"/>
      <c r="P34" s="532"/>
      <c r="Q34" s="532"/>
      <c r="R34" s="532"/>
      <c r="S34" s="532"/>
      <c r="T34" s="532"/>
      <c r="U34" s="532"/>
      <c r="V34" s="532"/>
      <c r="W34" s="532"/>
      <c r="X34" s="532"/>
      <c r="Y34" s="532"/>
      <c r="Z34" s="532"/>
      <c r="AA34" s="532"/>
      <c r="AB34" s="532"/>
      <c r="AC34" s="532"/>
      <c r="AD34" s="532"/>
      <c r="AE34" s="533"/>
      <c r="AF34" s="131" t="str">
        <f t="shared" si="63"/>
        <v/>
      </c>
      <c r="AG34" s="131" t="str">
        <f t="shared" si="59"/>
        <v/>
      </c>
      <c r="AH34" s="131" t="str">
        <f t="shared" si="60"/>
        <v/>
      </c>
      <c r="AI34" s="131" t="str">
        <f t="shared" si="61"/>
        <v/>
      </c>
      <c r="AJ34" s="131" t="str">
        <f t="shared" si="62"/>
        <v/>
      </c>
      <c r="AK34" s="131" t="str">
        <f t="shared" si="1"/>
        <v/>
      </c>
      <c r="AL34" s="131" t="str">
        <f t="shared" si="2"/>
        <v/>
      </c>
      <c r="AM34" s="131" t="str">
        <f t="shared" si="3"/>
        <v/>
      </c>
      <c r="AN34" s="131" t="str">
        <f t="shared" si="64"/>
        <v/>
      </c>
      <c r="AO34" s="131" t="str">
        <f t="shared" si="5"/>
        <v/>
      </c>
      <c r="AP34" s="131" t="str">
        <f t="shared" si="6"/>
        <v/>
      </c>
      <c r="AQ34" s="131" t="str">
        <f t="shared" si="7"/>
        <v/>
      </c>
      <c r="AR34" s="131" t="str">
        <f t="shared" si="8"/>
        <v/>
      </c>
      <c r="AS34" s="131" t="str">
        <f t="shared" si="9"/>
        <v/>
      </c>
      <c r="AT34" s="131" t="str">
        <f t="shared" si="10"/>
        <v/>
      </c>
      <c r="AU34" s="131" t="str">
        <f t="shared" si="11"/>
        <v/>
      </c>
      <c r="AV34" s="131" t="str">
        <f t="shared" si="12"/>
        <v/>
      </c>
      <c r="AW34" s="131" t="str">
        <f t="shared" si="13"/>
        <v/>
      </c>
      <c r="AX34" s="131" t="str">
        <f t="shared" si="14"/>
        <v/>
      </c>
      <c r="AY34" s="131" t="str">
        <f t="shared" si="15"/>
        <v/>
      </c>
      <c r="AZ34" s="131" t="str">
        <f t="shared" si="16"/>
        <v/>
      </c>
      <c r="BA34" s="131" t="str">
        <f t="shared" si="17"/>
        <v/>
      </c>
      <c r="BB34" s="131" t="str">
        <f t="shared" si="18"/>
        <v/>
      </c>
      <c r="BC34" s="131" t="str">
        <f t="shared" si="19"/>
        <v/>
      </c>
      <c r="BD34" s="131" t="str">
        <f t="shared" si="20"/>
        <v/>
      </c>
      <c r="BE34" s="131" t="str">
        <f t="shared" si="21"/>
        <v/>
      </c>
      <c r="BF34" s="131" t="str">
        <f t="shared" si="22"/>
        <v/>
      </c>
      <c r="BG34" s="131" t="str">
        <f t="shared" si="23"/>
        <v/>
      </c>
      <c r="BH34" s="131" t="str">
        <f t="shared" si="24"/>
        <v/>
      </c>
      <c r="BI34" s="131" t="str">
        <f t="shared" si="25"/>
        <v/>
      </c>
      <c r="BJ34" s="131" t="str">
        <f t="shared" si="26"/>
        <v/>
      </c>
      <c r="BK34" s="131" t="str">
        <f t="shared" si="27"/>
        <v/>
      </c>
      <c r="BL34" s="131" t="str">
        <f t="shared" si="28"/>
        <v/>
      </c>
      <c r="BM34" s="131" t="str">
        <f t="shared" si="29"/>
        <v/>
      </c>
      <c r="BN34" s="131" t="str">
        <f t="shared" si="30"/>
        <v/>
      </c>
      <c r="BO34" s="131" t="str">
        <f t="shared" si="31"/>
        <v/>
      </c>
      <c r="BP34" s="131" t="str">
        <f t="shared" si="32"/>
        <v/>
      </c>
      <c r="BQ34" s="131" t="str">
        <f t="shared" si="33"/>
        <v/>
      </c>
      <c r="BR34" s="131" t="str">
        <f t="shared" si="34"/>
        <v/>
      </c>
      <c r="BS34" s="131" t="str">
        <f t="shared" si="35"/>
        <v/>
      </c>
      <c r="BT34" s="131" t="str">
        <f t="shared" si="36"/>
        <v/>
      </c>
      <c r="BU34" s="131" t="str">
        <f t="shared" si="37"/>
        <v/>
      </c>
      <c r="BV34" s="131" t="str">
        <f t="shared" si="38"/>
        <v/>
      </c>
      <c r="BW34" s="131" t="str">
        <f t="shared" si="39"/>
        <v/>
      </c>
      <c r="BX34" s="131" t="str">
        <f t="shared" si="40"/>
        <v/>
      </c>
      <c r="BY34" s="131" t="str">
        <f t="shared" si="41"/>
        <v/>
      </c>
      <c r="BZ34" s="131" t="str">
        <f t="shared" si="42"/>
        <v/>
      </c>
      <c r="CA34" s="131" t="str">
        <f t="shared" si="43"/>
        <v/>
      </c>
      <c r="CB34" s="131" t="str">
        <f t="shared" si="44"/>
        <v/>
      </c>
      <c r="CC34" s="131" t="str">
        <f t="shared" si="45"/>
        <v/>
      </c>
      <c r="CD34" s="131" t="str">
        <f t="shared" si="46"/>
        <v/>
      </c>
      <c r="CE34" s="131" t="str">
        <f t="shared" si="47"/>
        <v/>
      </c>
      <c r="CF34" s="131" t="str">
        <f t="shared" si="48"/>
        <v/>
      </c>
      <c r="CG34" s="131" t="str">
        <f t="shared" si="49"/>
        <v/>
      </c>
      <c r="CH34" s="131" t="str">
        <f t="shared" si="50"/>
        <v/>
      </c>
      <c r="CI34" s="131" t="str">
        <f t="shared" si="51"/>
        <v/>
      </c>
      <c r="CJ34" s="131" t="str">
        <f t="shared" si="52"/>
        <v/>
      </c>
      <c r="CK34" s="131" t="str">
        <f t="shared" si="53"/>
        <v/>
      </c>
      <c r="CL34" s="131" t="str">
        <f t="shared" si="54"/>
        <v/>
      </c>
      <c r="CM34" s="131" t="str">
        <f t="shared" si="55"/>
        <v/>
      </c>
      <c r="CN34" s="131" t="str">
        <f t="shared" si="56"/>
        <v/>
      </c>
      <c r="CO34" s="131" t="str">
        <f t="shared" si="57"/>
        <v/>
      </c>
      <c r="CP34" s="131" t="str">
        <f t="shared" si="58"/>
        <v/>
      </c>
    </row>
    <row r="35" spans="1:94" s="90" customFormat="1" ht="15.6" customHeight="1" thickTop="1" x14ac:dyDescent="0.3">
      <c r="A35" s="315"/>
      <c r="B35" s="316"/>
      <c r="C35" s="317"/>
      <c r="D35" s="318"/>
      <c r="E35" s="319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566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</row>
    <row r="36" spans="1:94" s="90" customFormat="1" ht="15.6" customHeight="1" thickBot="1" x14ac:dyDescent="0.35">
      <c r="A36" s="567"/>
      <c r="B36" s="568"/>
      <c r="C36" s="569"/>
      <c r="D36" s="570"/>
      <c r="E36" s="571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3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</row>
    <row r="37" spans="1:94" s="172" customFormat="1" ht="19.5" thickTop="1" x14ac:dyDescent="0.3">
      <c r="A37" s="302"/>
      <c r="B37" s="303"/>
      <c r="C37" s="304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 t="s">
        <v>464</v>
      </c>
      <c r="P37" s="303"/>
      <c r="Q37" s="303"/>
      <c r="R37" s="303"/>
      <c r="S37" s="305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6"/>
      <c r="AF37" s="176">
        <f t="shared" ref="AF37:BK37" si="65">SUM(AF7:AF31)+SUM(AF39:AF60)</f>
        <v>13</v>
      </c>
      <c r="AG37" s="176">
        <f t="shared" si="65"/>
        <v>8</v>
      </c>
      <c r="AH37" s="176">
        <f t="shared" si="65"/>
        <v>12</v>
      </c>
      <c r="AI37" s="176">
        <f t="shared" si="65"/>
        <v>12</v>
      </c>
      <c r="AJ37" s="176">
        <f t="shared" si="65"/>
        <v>16</v>
      </c>
      <c r="AK37" s="176">
        <f t="shared" si="65"/>
        <v>14</v>
      </c>
      <c r="AL37" s="176">
        <f t="shared" si="65"/>
        <v>12</v>
      </c>
      <c r="AM37" s="176">
        <f t="shared" si="65"/>
        <v>10</v>
      </c>
      <c r="AN37" s="176">
        <f t="shared" si="65"/>
        <v>0</v>
      </c>
      <c r="AO37" s="176">
        <f t="shared" si="65"/>
        <v>12</v>
      </c>
      <c r="AP37" s="176">
        <f t="shared" si="65"/>
        <v>16</v>
      </c>
      <c r="AQ37" s="176">
        <f t="shared" si="65"/>
        <v>16</v>
      </c>
      <c r="AR37" s="176">
        <f t="shared" si="65"/>
        <v>0</v>
      </c>
      <c r="AS37" s="176">
        <f t="shared" si="65"/>
        <v>16</v>
      </c>
      <c r="AT37" s="176">
        <f t="shared" si="65"/>
        <v>12</v>
      </c>
      <c r="AU37" s="176">
        <f t="shared" si="65"/>
        <v>12</v>
      </c>
      <c r="AV37" s="176">
        <f t="shared" si="65"/>
        <v>12</v>
      </c>
      <c r="AW37" s="176">
        <f t="shared" si="65"/>
        <v>12</v>
      </c>
      <c r="AX37" s="176">
        <f t="shared" si="65"/>
        <v>11</v>
      </c>
      <c r="AY37" s="176">
        <f t="shared" si="65"/>
        <v>16</v>
      </c>
      <c r="AZ37" s="176">
        <f t="shared" si="65"/>
        <v>15</v>
      </c>
      <c r="BA37" s="176">
        <f t="shared" si="65"/>
        <v>6</v>
      </c>
      <c r="BB37" s="176">
        <f t="shared" si="65"/>
        <v>9</v>
      </c>
      <c r="BC37" s="176">
        <f t="shared" si="65"/>
        <v>12</v>
      </c>
      <c r="BD37" s="176">
        <f t="shared" si="65"/>
        <v>9</v>
      </c>
      <c r="BE37" s="176">
        <f t="shared" si="65"/>
        <v>12</v>
      </c>
      <c r="BF37" s="176">
        <f t="shared" si="65"/>
        <v>3</v>
      </c>
      <c r="BG37" s="176">
        <f t="shared" si="65"/>
        <v>11</v>
      </c>
      <c r="BH37" s="176">
        <f t="shared" si="65"/>
        <v>10</v>
      </c>
      <c r="BI37" s="176">
        <f t="shared" si="65"/>
        <v>9</v>
      </c>
      <c r="BJ37" s="176">
        <f t="shared" si="65"/>
        <v>6</v>
      </c>
      <c r="BK37" s="176">
        <f t="shared" si="65"/>
        <v>18</v>
      </c>
      <c r="BL37" s="176">
        <f t="shared" ref="BL37:CP37" si="66">SUM(BL7:BL31)+SUM(BL39:BL60)</f>
        <v>21</v>
      </c>
      <c r="BM37" s="176">
        <f t="shared" si="66"/>
        <v>14</v>
      </c>
      <c r="BN37" s="176">
        <f t="shared" si="66"/>
        <v>12</v>
      </c>
      <c r="BO37" s="176">
        <f t="shared" si="66"/>
        <v>22</v>
      </c>
      <c r="BP37" s="176">
        <f t="shared" si="66"/>
        <v>13</v>
      </c>
      <c r="BQ37" s="176">
        <f t="shared" si="66"/>
        <v>5</v>
      </c>
      <c r="BR37" s="176">
        <f t="shared" si="66"/>
        <v>0</v>
      </c>
      <c r="BS37" s="176">
        <f t="shared" si="66"/>
        <v>0</v>
      </c>
      <c r="BT37" s="176">
        <f t="shared" si="66"/>
        <v>14</v>
      </c>
      <c r="BU37" s="176">
        <f t="shared" ref="BU37" si="67">SUM(BU7:BU31)+SUM(BU39:BU60)</f>
        <v>8</v>
      </c>
      <c r="BV37" s="176">
        <f t="shared" si="66"/>
        <v>15</v>
      </c>
      <c r="BW37" s="176">
        <f t="shared" si="66"/>
        <v>13</v>
      </c>
      <c r="BX37" s="176">
        <f t="shared" si="66"/>
        <v>17</v>
      </c>
      <c r="BY37" s="176">
        <f t="shared" ref="BY37" si="68">SUM(BY7:BY31)+SUM(BY39:BY60)</f>
        <v>15</v>
      </c>
      <c r="BZ37" s="176">
        <f t="shared" si="66"/>
        <v>6</v>
      </c>
      <c r="CA37" s="176">
        <f t="shared" si="66"/>
        <v>9</v>
      </c>
      <c r="CB37" s="176">
        <f t="shared" si="66"/>
        <v>15</v>
      </c>
      <c r="CC37" s="176">
        <f t="shared" si="66"/>
        <v>9</v>
      </c>
      <c r="CD37" s="176">
        <f t="shared" si="66"/>
        <v>15</v>
      </c>
      <c r="CE37" s="176">
        <f t="shared" si="66"/>
        <v>12</v>
      </c>
      <c r="CF37" s="176">
        <f t="shared" si="66"/>
        <v>15</v>
      </c>
      <c r="CG37" s="176">
        <f t="shared" si="66"/>
        <v>12</v>
      </c>
      <c r="CH37" s="176">
        <f t="shared" si="66"/>
        <v>18</v>
      </c>
      <c r="CI37" s="176">
        <f t="shared" si="66"/>
        <v>12</v>
      </c>
      <c r="CJ37" s="176">
        <f t="shared" si="66"/>
        <v>0</v>
      </c>
      <c r="CK37" s="176">
        <f t="shared" si="66"/>
        <v>8</v>
      </c>
      <c r="CL37" s="176">
        <f t="shared" ref="CL37" si="69">SUM(CL7:CL31)+SUM(CL39:CL60)</f>
        <v>16</v>
      </c>
      <c r="CM37" s="176">
        <f t="shared" si="66"/>
        <v>18</v>
      </c>
      <c r="CN37" s="176">
        <f t="shared" si="66"/>
        <v>14</v>
      </c>
      <c r="CO37" s="176">
        <f t="shared" si="66"/>
        <v>12</v>
      </c>
      <c r="CP37" s="176">
        <f t="shared" si="66"/>
        <v>16</v>
      </c>
    </row>
    <row r="38" spans="1:94" s="172" customFormat="1" ht="19.5" thickBot="1" x14ac:dyDescent="0.35">
      <c r="A38" s="307"/>
      <c r="B38" s="308"/>
      <c r="C38" s="309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10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13" t="s">
        <v>518</v>
      </c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</row>
    <row r="39" spans="1:94" s="174" customFormat="1" ht="15" customHeight="1" thickTop="1" x14ac:dyDescent="0.25">
      <c r="A39" s="178" t="s">
        <v>188</v>
      </c>
      <c r="B39" s="179"/>
      <c r="C39" s="243" t="s">
        <v>460</v>
      </c>
      <c r="D39" s="297" t="str">
        <f t="shared" ref="D39:AD39" si="70">D4</f>
        <v>10A1</v>
      </c>
      <c r="E39" s="297" t="str">
        <f t="shared" si="70"/>
        <v>10A2</v>
      </c>
      <c r="F39" s="297" t="str">
        <f t="shared" si="70"/>
        <v>10A3</v>
      </c>
      <c r="G39" s="297" t="str">
        <f t="shared" si="70"/>
        <v>10A4</v>
      </c>
      <c r="H39" s="297" t="str">
        <f t="shared" si="70"/>
        <v>10A5</v>
      </c>
      <c r="I39" s="297" t="str">
        <f t="shared" si="70"/>
        <v>10A6</v>
      </c>
      <c r="J39" s="297" t="str">
        <f t="shared" si="70"/>
        <v>10A7</v>
      </c>
      <c r="K39" s="297" t="str">
        <f t="shared" si="70"/>
        <v>10A8</v>
      </c>
      <c r="L39" s="297" t="str">
        <f>L4</f>
        <v>11A1</v>
      </c>
      <c r="M39" s="297" t="str">
        <f t="shared" si="70"/>
        <v>11A2</v>
      </c>
      <c r="N39" s="297" t="str">
        <f t="shared" si="70"/>
        <v>11A3</v>
      </c>
      <c r="O39" s="297" t="str">
        <f t="shared" si="70"/>
        <v>11A4</v>
      </c>
      <c r="P39" s="297" t="str">
        <f t="shared" si="70"/>
        <v>11A5</v>
      </c>
      <c r="Q39" s="297" t="str">
        <f t="shared" si="70"/>
        <v>11A6</v>
      </c>
      <c r="R39" s="297" t="str">
        <f t="shared" si="70"/>
        <v>11A7</v>
      </c>
      <c r="S39" s="297" t="str">
        <f t="shared" si="70"/>
        <v>11A8</v>
      </c>
      <c r="T39" s="297" t="str">
        <f t="shared" si="70"/>
        <v>11A9</v>
      </c>
      <c r="U39" s="297" t="str">
        <f t="shared" si="70"/>
        <v>11A10</v>
      </c>
      <c r="V39" s="297" t="str">
        <f t="shared" si="70"/>
        <v>12A1</v>
      </c>
      <c r="W39" s="297" t="str">
        <f t="shared" si="70"/>
        <v>12A2</v>
      </c>
      <c r="X39" s="297" t="str">
        <f t="shared" si="70"/>
        <v>12A3</v>
      </c>
      <c r="Y39" s="297" t="str">
        <f t="shared" si="70"/>
        <v>12A4</v>
      </c>
      <c r="Z39" s="297" t="str">
        <f t="shared" si="70"/>
        <v>12A5</v>
      </c>
      <c r="AA39" s="297" t="str">
        <f t="shared" si="70"/>
        <v>12A6</v>
      </c>
      <c r="AB39" s="297" t="str">
        <f t="shared" si="70"/>
        <v>12A7</v>
      </c>
      <c r="AC39" s="297" t="str">
        <f t="shared" si="70"/>
        <v>12A8</v>
      </c>
      <c r="AD39" s="297" t="str">
        <f t="shared" si="70"/>
        <v>12A9</v>
      </c>
      <c r="AE39" s="298" t="str">
        <f>AE4</f>
        <v>12A10</v>
      </c>
      <c r="AF39" s="173" t="str">
        <f t="shared" ref="AF39:AF59" si="71">IF(COUNTIF($D39:$AE39,"T2")&gt;=1,COUNTIF($D39:$AE39,"T2"),"")</f>
        <v/>
      </c>
      <c r="AG39" s="173" t="str">
        <f t="shared" ref="AG39:AG60" si="72">IF(COUNTIF($D39:$AE39,"T3")&gt;=1,COUNTIF($D39:$AE39,"T3"),"")</f>
        <v/>
      </c>
      <c r="AH39" s="173" t="str">
        <f t="shared" ref="AH39:AH60" si="73">IF(COUNTIF($D39:$AE39,"T4")&gt;=1,COUNTIF($D39:$AE39,"T4"),"")</f>
        <v/>
      </c>
      <c r="AI39" s="173" t="str">
        <f t="shared" ref="AI39:AI60" si="74">IF(COUNTIF($D39:$AE39,"T5")&gt;=1,COUNTIF($D39:$AE39,"T5"),"")</f>
        <v/>
      </c>
      <c r="AJ39" s="173" t="str">
        <f t="shared" ref="AJ39:AJ60" si="75">IF(COUNTIF($D39:$AE39,"TT1")&gt;=1,COUNTIF($D39:$AE39,"TT1"),"")</f>
        <v/>
      </c>
      <c r="AK39" s="173" t="str">
        <f t="shared" ref="AK39:AK60" si="76">IF(COUNTIF($D39:$AE39,"TT2")&gt;=1,COUNTIF($D39:$AE39,"TT2"),"")</f>
        <v/>
      </c>
      <c r="AL39" s="173" t="str">
        <f t="shared" ref="AL39:AL60" si="77">IF(COUNTIF($D39:$AE39,"TT3")&gt;=1,COUNTIF($D39:$AE39,"TT3"),"")</f>
        <v/>
      </c>
      <c r="AM39" s="173" t="str">
        <f t="shared" ref="AM39:AM60" si="78">IF(COUNTIF($D39:$AE39,"TT4")&gt;=1,COUNTIF($D39:$AE39,"TT4"),"")</f>
        <v/>
      </c>
      <c r="AN39" s="173" t="str">
        <f t="shared" ref="AN39:AN60" si="79">IF(COUNTIF($D39:$AE39,"TT5")&gt;=1,COUNTIF($D39:$AE39,"TT5"),"")</f>
        <v/>
      </c>
      <c r="AO39" s="173" t="str">
        <f t="shared" ref="AO39:AO60" si="80">IF(COUNTIF($D39:$AE39,"TT6")&gt;=1,COUNTIF($D39:$AE39,"TT6"),"")</f>
        <v/>
      </c>
      <c r="AP39" s="173" t="str">
        <f t="shared" ref="AP39:AP60" si="81">IF(COUNTIF($D39:$AE39,"TT7")&gt;=1,COUNTIF($D39:$AE39,"TT7"),"")</f>
        <v/>
      </c>
      <c r="AQ39" s="173" t="str">
        <f t="shared" ref="AQ39:AQ60" si="82">IF(COUNTIF($D39:$AE39,"TT9")&gt;=1,COUNTIF($D39:$AE39,"TT9"),"")</f>
        <v/>
      </c>
      <c r="AR39" s="173" t="str">
        <f t="shared" ref="AR39:AR60" si="83">IF(COUNTIF($D39:$AE39,"Tn3")&gt;=1,COUNTIF($D39:$AE39,"Tn3"),"")</f>
        <v/>
      </c>
      <c r="AS39" s="173" t="str">
        <f t="shared" ref="AS39:AS60" si="84">IF(COUNTIF($D39:$AE39,"Tn4")&gt;=1,COUNTIF($D39:$AE39,"Tn4"),"")</f>
        <v/>
      </c>
      <c r="AT39" s="173" t="str">
        <f t="shared" ref="AT39:AT60" si="85">IF(COUNTIF($D39:$AE39,"LC2")&gt;=1,COUNTIF($D39:$AE39,"LC2"),"")</f>
        <v/>
      </c>
      <c r="AU39" s="173" t="str">
        <f t="shared" ref="AU39:AU60" si="86">IF(COUNTIF($D39:$AE39,"LC3")&gt;=1,COUNTIF($D39:$AE39,"LC3"),"")</f>
        <v/>
      </c>
      <c r="AV39" s="173" t="str">
        <f t="shared" ref="AV39:AV60" si="87">IF(COUNTIF($D39:$AE39,"LC4")&gt;=1,COUNTIF($D39:$AE39,"LC4"),"")</f>
        <v/>
      </c>
      <c r="AW39" s="173" t="str">
        <f t="shared" ref="AW39:AW60" si="88">IF(COUNTIF($D39:$AE39,"LC5")&gt;=1,COUNTIF($D39:$AE39,"LC5"),"")</f>
        <v/>
      </c>
      <c r="AX39" s="173" t="str">
        <f t="shared" ref="AX39:AX60" si="89">IF(COUNTIF($D39:$AE39,"LC6")&gt;=1,COUNTIF($D39:$AE39,"LC6"),"")</f>
        <v/>
      </c>
      <c r="AY39" s="173" t="str">
        <f t="shared" ref="AY39:AY60" si="90">IF(COUNTIF($D39:$AE39,"LC7")&gt;=1,COUNTIF($D39:$AE39,"LC7"),"")</f>
        <v/>
      </c>
      <c r="AZ39" s="173" t="str">
        <f t="shared" ref="AZ39:AZ60" si="91">IF(COUNTIF($D39:$AE39,"LC8")&gt;=1,COUNTIF($D39:$AE39,"LC8"),"")</f>
        <v/>
      </c>
      <c r="BA39" s="173" t="str">
        <f t="shared" ref="BA39:BA60" si="92">IF(COUNTIF($D39:$AE39,"H1")&gt;=1,COUNTIF($D39:$AE39,"H1"),"")</f>
        <v/>
      </c>
      <c r="BB39" s="173" t="str">
        <f t="shared" ref="BB39:BB60" si="93">IF(COUNTIF($D39:$AE39,"H2")&gt;=1,COUNTIF($D39:$AE39,"H2"),"")</f>
        <v/>
      </c>
      <c r="BC39" s="173" t="str">
        <f t="shared" ref="BC39:BC60" si="94">IF(COUNTIF($D39:$AE39,"H3")&gt;=1,COUNTIF($D39:$AE39,"H3"),"")</f>
        <v/>
      </c>
      <c r="BD39" s="173" t="str">
        <f t="shared" ref="BD39:BD60" si="95">IF(COUNTIF($D39:$AE39,"H4")&gt;=1,COUNTIF($D39:$AE39,"H4"),"")</f>
        <v/>
      </c>
      <c r="BE39" s="173" t="str">
        <f t="shared" ref="BE39:BE60" si="96">IF(COUNTIF($D39:$AE39,"H5")&gt;=1,COUNTIF($D39:$AE39,"H5"),"")</f>
        <v/>
      </c>
      <c r="BF39" s="173" t="str">
        <f t="shared" ref="BF39:BF60" si="97">IF(COUNTIF($D39:$AE39,"SN1")&gt;=1,COUNTIF($D39:$AE39,"SN1"),"")</f>
        <v/>
      </c>
      <c r="BG39" s="173" t="str">
        <f t="shared" ref="BG39:BG60" si="98">IF(COUNTIF($D39:$AE39,"SN2")&gt;=1,COUNTIF($D39:$AE39,"SN2"),"")</f>
        <v/>
      </c>
      <c r="BH39" s="173" t="str">
        <f t="shared" ref="BH39:BH60" si="99">IF(COUNTIF($D39:$AE39,"SN3")&gt;=1,COUNTIF($D39:$AE39,"SN3"),"")</f>
        <v/>
      </c>
      <c r="BI39" s="173" t="str">
        <f t="shared" ref="BI39:BI60" si="100">IF(COUNTIF($D39:$AE39,"SN4")&gt;=1,COUNTIF($D39:$AE39,"SN4"),"")</f>
        <v/>
      </c>
      <c r="BJ39" s="173" t="str">
        <f t="shared" ref="BJ39:BJ60" si="101">IF(COUNTIF($D39:$AE39,"V1")&gt;=1,COUNTIF($D39:$AE39,"V1"),"")</f>
        <v/>
      </c>
      <c r="BK39" s="173" t="str">
        <f t="shared" ref="BK39:BK60" si="102">IF(COUNTIF($D39:$AE39,"V2")&gt;=1,COUNTIF($D39:$AE39,"V2"),"")</f>
        <v/>
      </c>
      <c r="BL39" s="173" t="str">
        <f t="shared" ref="BL39:BL60" si="103">IF(COUNTIF($D39:$AE39,"V3")&gt;=1,COUNTIF($D39:$AE39,"V3"),"")</f>
        <v/>
      </c>
      <c r="BM39" s="173" t="str">
        <f t="shared" ref="BM39:BM60" si="104">IF(COUNTIF($D39:$AE39,"V4")&gt;=1,COUNTIF($D39:$AE39,"V4"),"")</f>
        <v/>
      </c>
      <c r="BN39" s="173" t="str">
        <f t="shared" ref="BN39:BN60" si="105">IF(COUNTIF($D39:$AE39,"V5")&gt;=1,COUNTIF($D39:$AE39,"V5"),"")</f>
        <v/>
      </c>
      <c r="BO39" s="173" t="str">
        <f t="shared" ref="BO39:BO60" si="106">IF(COUNTIF($D39:$AE39,"V6")&gt;=1,COUNTIF($D39:$AE39,"V6"),"")</f>
        <v/>
      </c>
      <c r="BP39" s="173" t="str">
        <f t="shared" ref="BP39:BP60" si="107">IF(COUNTIF($D39:$AE39,"V7")&gt;=1,COUNTIF($D39:$AE39,"V7"),"")</f>
        <v/>
      </c>
      <c r="BQ39" s="173" t="str">
        <f t="shared" ref="BQ39:BQ60" si="108">IF(COUNTIF($D39:$AE39,"V8")&gt;=1,COUNTIF($D39:$AE39,"V8"),"")</f>
        <v/>
      </c>
      <c r="BR39" s="173" t="str">
        <f t="shared" ref="BR39:BR60" si="109">IF(COUNTIF($D39:$AE39,"V9")&gt;=1,COUNTIF($D39:$AE39,"V9"),"")</f>
        <v/>
      </c>
      <c r="BS39" s="173" t="str">
        <f t="shared" ref="BS39:BS60" si="110">IF(COUNTIF($D39:$AE39,"G1")&gt;=1,COUNTIF($D39:$AE39,"G1"),"")</f>
        <v/>
      </c>
      <c r="BT39" s="173" t="str">
        <f t="shared" ref="BT39:BT60" si="111">IF(COUNTIF($D39:$AE39,"G2")&gt;=1,COUNTIF($D39:$AE39,"G2"),"")</f>
        <v/>
      </c>
      <c r="BU39" s="173" t="str">
        <f t="shared" ref="BU39:BU60" si="112">IF(COUNTIF($D39:$AE39,"G3")&gt;=1,COUNTIF($D39:$AE39,"G3"),"")</f>
        <v/>
      </c>
      <c r="BV39" s="173" t="str">
        <f t="shared" ref="BV39:BV60" si="113">IF(COUNTIF($D39:$AE39,"SG1")&gt;=1,COUNTIF($D39:$AE39,"SG1"),"")</f>
        <v/>
      </c>
      <c r="BW39" s="173" t="str">
        <f t="shared" ref="BW39:BW60" si="114">IF(COUNTIF($D39:$AE39,"SG2")&gt;=1,COUNTIF($D39:$AE39,"SG2"),"")</f>
        <v/>
      </c>
      <c r="BX39" s="173" t="str">
        <f t="shared" ref="BX39:BX60" si="115">IF(COUNTIF($D39:$AE39,"SG3")&gt;=1,COUNTIF($D39:$AE39,"SG3"),"")</f>
        <v/>
      </c>
      <c r="BY39" s="173" t="str">
        <f t="shared" ref="BY39:BY60" si="116">IF(COUNTIF($D39:$AE39,"Sg4")&gt;=1,COUNTIF($D39:$AE39,"Sg4"),"")</f>
        <v/>
      </c>
      <c r="BZ39" s="173" t="str">
        <f t="shared" ref="BZ39:BZ60" si="117">IF(COUNTIF($D39:$AE39,"D2")&gt;=1,COUNTIF($D39:$AE39,"D2"),"")</f>
        <v/>
      </c>
      <c r="CA39" s="173" t="str">
        <f t="shared" ref="CA39:CA60" si="118">IF(COUNTIF($D39:$AE39,"D3")&gt;=1,COUNTIF($D39:$AE39,"D3"),"")</f>
        <v/>
      </c>
      <c r="CB39" s="173" t="str">
        <f t="shared" ref="CB39:CB60" si="119">IF(COUNTIF($D39:$AE39,"D4")&gt;=1,COUNTIF($D39:$AE39,"D4"),"")</f>
        <v/>
      </c>
      <c r="CC39" s="173" t="str">
        <f t="shared" ref="CC39:CC60" si="120">IF(COUNTIF($D39:$AE39,"D5")&gt;=1,COUNTIF($D39:$AE39,"D5"),"")</f>
        <v/>
      </c>
      <c r="CD39" s="173" t="str">
        <f t="shared" ref="CD39:CD60" si="121">IF(COUNTIF($D39:$AE39,"A1")&gt;=1,COUNTIF($D39:$AE39,"A1"),"")</f>
        <v/>
      </c>
      <c r="CE39" s="173" t="str">
        <f t="shared" ref="CE39:CE60" si="122">IF(COUNTIF($D39:$AE39,"A2")&gt;=1,COUNTIF($D39:$AE39,"A2"),"")</f>
        <v/>
      </c>
      <c r="CF39" s="173" t="str">
        <f t="shared" ref="CF39:CF60" si="123">IF(COUNTIF($D39:$AE39,"A3")&gt;=1,COUNTIF($D39:$AE39,"A3"),"")</f>
        <v/>
      </c>
      <c r="CG39" s="173" t="str">
        <f t="shared" ref="CG39:CG60" si="124">IF(COUNTIF($D39:$AE39,"A4")&gt;=1,COUNTIF($D39:$AE39,"A4"),"")</f>
        <v/>
      </c>
      <c r="CH39" s="173" t="str">
        <f t="shared" ref="CH39:CH60" si="125">IF(COUNTIF($D39:$AE39,"A5")&gt;=1,COUNTIF($D39:$AE39,"A5"),"")</f>
        <v/>
      </c>
      <c r="CI39" s="173" t="str">
        <f t="shared" ref="CI39:CI60" si="126">IF(COUNTIF($D39:$AE39,"A6")&gt;=1,COUNTIF($D39:$AE39,"A6"),"")</f>
        <v/>
      </c>
      <c r="CJ39" s="173" t="str">
        <f t="shared" ref="CJ39:CJ60" si="127">IF(COUNTIF($D39:$AE39,"Q1")&gt;=1,COUNTIF($D39:$AE39,"Q1"),"")</f>
        <v/>
      </c>
      <c r="CK39" s="173" t="str">
        <f t="shared" ref="CK39:CK60" si="128">IF(COUNTIF($D39:$AE39,"Q2")&gt;=1,COUNTIF($D39:$AE39,"Q2"),"")</f>
        <v/>
      </c>
      <c r="CL39" s="173" t="str">
        <f t="shared" ref="CL39:CL60" si="129">IF(COUNTIF($D39:$AE39,"Q3")&gt;=1,COUNTIF($D39:$AE39,"Q3"),"")</f>
        <v/>
      </c>
      <c r="CM39" s="173" t="str">
        <f t="shared" ref="CM39:CM60" si="130">IF(COUNTIF($D39:$AE39,"TQ1")&gt;=1,COUNTIF($D39:$AE39,"TQ1"),"")</f>
        <v/>
      </c>
      <c r="CN39" s="173" t="str">
        <f t="shared" ref="CN39:CN60" si="131">IF(COUNTIF($D39:$AE39,"TQ3")&gt;=1,COUNTIF($D39:$AE39,"TQ3"),"")</f>
        <v/>
      </c>
      <c r="CO39" s="173" t="str">
        <f t="shared" ref="CO39:CO60" si="132">IF(COUNTIF($D39:$AE39,"TQ4")&gt;=1,COUNTIF($D39:$AE39,"TQ4"),"")</f>
        <v/>
      </c>
      <c r="CP39" s="173" t="str">
        <f t="shared" ref="CP39:CP60" si="133">IF(COUNTIF($D39:$AE39,"TQ5")&gt;=1,COUNTIF($D39:$AE39,"TQ5"),"")</f>
        <v/>
      </c>
    </row>
    <row r="40" spans="1:94" ht="15" customHeight="1" x14ac:dyDescent="0.25">
      <c r="A40" s="744">
        <v>2</v>
      </c>
      <c r="B40" s="92">
        <v>1</v>
      </c>
      <c r="C40" s="240" t="s">
        <v>347</v>
      </c>
      <c r="D40" s="373"/>
      <c r="E40" s="470"/>
      <c r="F40" s="292"/>
      <c r="G40" s="292"/>
      <c r="H40" s="373"/>
      <c r="I40" s="370"/>
      <c r="J40" s="370"/>
      <c r="K40" s="370"/>
      <c r="L40" s="370"/>
      <c r="M40" s="370"/>
      <c r="N40" s="370"/>
      <c r="O40" s="373"/>
      <c r="P40" s="370"/>
      <c r="Q40" s="370"/>
      <c r="R40" s="370"/>
      <c r="S40" s="370"/>
      <c r="T40" s="370"/>
      <c r="U40" s="370"/>
      <c r="V40" s="370"/>
      <c r="W40" s="370"/>
      <c r="X40" s="292"/>
      <c r="Y40" s="370"/>
      <c r="Z40" s="301"/>
      <c r="AA40" s="370"/>
      <c r="AB40" s="370"/>
      <c r="AC40" s="335"/>
      <c r="AD40" s="336"/>
      <c r="AE40" s="374"/>
      <c r="AF40" s="63" t="str">
        <f>IF(COUNTIF($D40:$AE40,"T2")&gt;=1,COUNTIF($D40:$AE40,"T2"),"")</f>
        <v/>
      </c>
      <c r="AG40" s="63" t="str">
        <f t="shared" si="72"/>
        <v/>
      </c>
      <c r="AH40" s="63" t="str">
        <f t="shared" si="73"/>
        <v/>
      </c>
      <c r="AI40" s="63" t="str">
        <f t="shared" si="74"/>
        <v/>
      </c>
      <c r="AJ40" s="63" t="str">
        <f t="shared" si="75"/>
        <v/>
      </c>
      <c r="AK40" s="63" t="str">
        <f t="shared" si="76"/>
        <v/>
      </c>
      <c r="AL40" s="63" t="str">
        <f t="shared" si="77"/>
        <v/>
      </c>
      <c r="AM40" s="63" t="str">
        <f t="shared" si="78"/>
        <v/>
      </c>
      <c r="AN40" s="63" t="str">
        <f t="shared" si="79"/>
        <v/>
      </c>
      <c r="AO40" s="63" t="str">
        <f t="shared" si="80"/>
        <v/>
      </c>
      <c r="AP40" s="63" t="str">
        <f t="shared" si="81"/>
        <v/>
      </c>
      <c r="AQ40" s="63" t="str">
        <f t="shared" si="82"/>
        <v/>
      </c>
      <c r="AR40" s="63" t="str">
        <f t="shared" si="83"/>
        <v/>
      </c>
      <c r="AS40" s="63" t="str">
        <f t="shared" si="84"/>
        <v/>
      </c>
      <c r="AT40" s="63" t="str">
        <f t="shared" si="85"/>
        <v/>
      </c>
      <c r="AU40" s="63" t="str">
        <f t="shared" si="86"/>
        <v/>
      </c>
      <c r="AV40" s="63" t="str">
        <f t="shared" si="87"/>
        <v/>
      </c>
      <c r="AW40" s="63" t="str">
        <f t="shared" si="88"/>
        <v/>
      </c>
      <c r="AX40" s="63" t="str">
        <f t="shared" si="89"/>
        <v/>
      </c>
      <c r="AY40" s="63" t="str">
        <f t="shared" si="90"/>
        <v/>
      </c>
      <c r="AZ40" s="63" t="str">
        <f t="shared" si="91"/>
        <v/>
      </c>
      <c r="BA40" s="63" t="str">
        <f t="shared" si="92"/>
        <v/>
      </c>
      <c r="BB40" s="63" t="str">
        <f t="shared" si="93"/>
        <v/>
      </c>
      <c r="BC40" s="63" t="str">
        <f t="shared" si="94"/>
        <v/>
      </c>
      <c r="BD40" s="63" t="str">
        <f t="shared" si="95"/>
        <v/>
      </c>
      <c r="BE40" s="63" t="str">
        <f t="shared" si="96"/>
        <v/>
      </c>
      <c r="BF40" s="63" t="str">
        <f t="shared" si="97"/>
        <v/>
      </c>
      <c r="BG40" s="63" t="str">
        <f t="shared" si="98"/>
        <v/>
      </c>
      <c r="BH40" s="63" t="str">
        <f t="shared" si="99"/>
        <v/>
      </c>
      <c r="BI40" s="63" t="str">
        <f t="shared" si="100"/>
        <v/>
      </c>
      <c r="BJ40" s="63" t="str">
        <f t="shared" si="101"/>
        <v/>
      </c>
      <c r="BK40" s="63" t="str">
        <f t="shared" si="102"/>
        <v/>
      </c>
      <c r="BL40" s="63" t="str">
        <f t="shared" si="103"/>
        <v/>
      </c>
      <c r="BM40" s="63" t="str">
        <f t="shared" si="104"/>
        <v/>
      </c>
      <c r="BN40" s="63" t="str">
        <f t="shared" si="105"/>
        <v/>
      </c>
      <c r="BO40" s="63" t="str">
        <f t="shared" si="106"/>
        <v/>
      </c>
      <c r="BP40" s="63" t="str">
        <f t="shared" si="107"/>
        <v/>
      </c>
      <c r="BQ40" s="63" t="str">
        <f t="shared" si="108"/>
        <v/>
      </c>
      <c r="BR40" s="63" t="str">
        <f t="shared" si="109"/>
        <v/>
      </c>
      <c r="BS40" s="63" t="str">
        <f t="shared" si="110"/>
        <v/>
      </c>
      <c r="BT40" s="63" t="str">
        <f t="shared" si="111"/>
        <v/>
      </c>
      <c r="BU40" s="63" t="str">
        <f t="shared" si="112"/>
        <v/>
      </c>
      <c r="BV40" s="63" t="str">
        <f t="shared" si="113"/>
        <v/>
      </c>
      <c r="BW40" s="63" t="str">
        <f t="shared" si="114"/>
        <v/>
      </c>
      <c r="BX40" s="63" t="str">
        <f t="shared" si="115"/>
        <v/>
      </c>
      <c r="BY40" s="63" t="str">
        <f t="shared" si="116"/>
        <v/>
      </c>
      <c r="BZ40" s="63" t="str">
        <f t="shared" si="117"/>
        <v/>
      </c>
      <c r="CA40" s="63" t="str">
        <f t="shared" si="118"/>
        <v/>
      </c>
      <c r="CB40" s="63" t="str">
        <f t="shared" si="119"/>
        <v/>
      </c>
      <c r="CC40" s="63" t="str">
        <f t="shared" si="120"/>
        <v/>
      </c>
      <c r="CD40" s="63" t="str">
        <f t="shared" si="121"/>
        <v/>
      </c>
      <c r="CE40" s="63" t="str">
        <f t="shared" si="122"/>
        <v/>
      </c>
      <c r="CF40" s="63" t="str">
        <f t="shared" si="123"/>
        <v/>
      </c>
      <c r="CG40" s="63" t="str">
        <f t="shared" si="124"/>
        <v/>
      </c>
      <c r="CH40" s="63" t="str">
        <f t="shared" si="125"/>
        <v/>
      </c>
      <c r="CI40" s="63" t="str">
        <f t="shared" si="126"/>
        <v/>
      </c>
      <c r="CJ40" s="63" t="str">
        <f t="shared" si="127"/>
        <v/>
      </c>
      <c r="CK40" s="63" t="str">
        <f t="shared" si="128"/>
        <v/>
      </c>
      <c r="CL40" s="63" t="str">
        <f t="shared" si="129"/>
        <v/>
      </c>
      <c r="CM40" s="63" t="str">
        <f t="shared" si="130"/>
        <v/>
      </c>
      <c r="CN40" s="63" t="str">
        <f t="shared" si="131"/>
        <v/>
      </c>
      <c r="CO40" s="63" t="str">
        <f t="shared" si="132"/>
        <v/>
      </c>
      <c r="CP40" s="63" t="str">
        <f t="shared" si="133"/>
        <v/>
      </c>
    </row>
    <row r="41" spans="1:94" ht="15" customHeight="1" x14ac:dyDescent="0.25">
      <c r="A41" s="744"/>
      <c r="B41" s="93">
        <v>2</v>
      </c>
      <c r="C41" s="241" t="s">
        <v>348</v>
      </c>
      <c r="D41" s="471"/>
      <c r="E41" s="371"/>
      <c r="F41" s="371"/>
      <c r="G41" s="371"/>
      <c r="H41" s="371"/>
      <c r="I41" s="371"/>
      <c r="J41" s="371"/>
      <c r="K41" s="371"/>
      <c r="L41" s="301"/>
      <c r="M41" s="371"/>
      <c r="N41" s="301"/>
      <c r="O41" s="371"/>
      <c r="P41" s="371"/>
      <c r="Q41" s="371"/>
      <c r="R41" s="371"/>
      <c r="S41" s="371"/>
      <c r="T41" s="371"/>
      <c r="U41" s="371"/>
      <c r="V41" s="371"/>
      <c r="W41" s="371"/>
      <c r="X41" s="301"/>
      <c r="Y41" s="296"/>
      <c r="Z41" s="371"/>
      <c r="AA41" s="301"/>
      <c r="AB41" s="371"/>
      <c r="AC41" s="337"/>
      <c r="AD41" s="328"/>
      <c r="AE41" s="375"/>
      <c r="AF41" s="63" t="str">
        <f>IF(COUNTIF($D41:$AE41,"T2")&gt;=1,COUNTIF($D41:$AE41,"T2"),"")</f>
        <v/>
      </c>
      <c r="AG41" s="63" t="str">
        <f t="shared" si="72"/>
        <v/>
      </c>
      <c r="AH41" s="63" t="str">
        <f t="shared" si="73"/>
        <v/>
      </c>
      <c r="AI41" s="63" t="str">
        <f t="shared" si="74"/>
        <v/>
      </c>
      <c r="AJ41" s="63" t="str">
        <f t="shared" si="75"/>
        <v/>
      </c>
      <c r="AK41" s="63" t="str">
        <f t="shared" si="76"/>
        <v/>
      </c>
      <c r="AL41" s="63" t="str">
        <f t="shared" si="77"/>
        <v/>
      </c>
      <c r="AM41" s="63" t="str">
        <f t="shared" si="78"/>
        <v/>
      </c>
      <c r="AN41" s="63" t="str">
        <f t="shared" si="79"/>
        <v/>
      </c>
      <c r="AO41" s="63" t="str">
        <f t="shared" si="80"/>
        <v/>
      </c>
      <c r="AP41" s="63" t="str">
        <f t="shared" si="81"/>
        <v/>
      </c>
      <c r="AQ41" s="63" t="str">
        <f t="shared" si="82"/>
        <v/>
      </c>
      <c r="AR41" s="63" t="str">
        <f t="shared" si="83"/>
        <v/>
      </c>
      <c r="AS41" s="63" t="str">
        <f t="shared" si="84"/>
        <v/>
      </c>
      <c r="AT41" s="63" t="str">
        <f t="shared" si="85"/>
        <v/>
      </c>
      <c r="AU41" s="63" t="str">
        <f t="shared" si="86"/>
        <v/>
      </c>
      <c r="AV41" s="63" t="str">
        <f t="shared" si="87"/>
        <v/>
      </c>
      <c r="AW41" s="63" t="str">
        <f t="shared" si="88"/>
        <v/>
      </c>
      <c r="AX41" s="63" t="str">
        <f t="shared" si="89"/>
        <v/>
      </c>
      <c r="AY41" s="63" t="str">
        <f t="shared" si="90"/>
        <v/>
      </c>
      <c r="AZ41" s="63" t="str">
        <f t="shared" si="91"/>
        <v/>
      </c>
      <c r="BA41" s="63" t="str">
        <f t="shared" si="92"/>
        <v/>
      </c>
      <c r="BB41" s="63" t="str">
        <f t="shared" si="93"/>
        <v/>
      </c>
      <c r="BC41" s="63" t="str">
        <f t="shared" si="94"/>
        <v/>
      </c>
      <c r="BD41" s="63" t="str">
        <f t="shared" si="95"/>
        <v/>
      </c>
      <c r="BE41" s="63" t="str">
        <f t="shared" si="96"/>
        <v/>
      </c>
      <c r="BF41" s="63" t="str">
        <f t="shared" si="97"/>
        <v/>
      </c>
      <c r="BG41" s="63" t="str">
        <f t="shared" si="98"/>
        <v/>
      </c>
      <c r="BH41" s="63" t="str">
        <f t="shared" si="99"/>
        <v/>
      </c>
      <c r="BI41" s="63" t="str">
        <f t="shared" si="100"/>
        <v/>
      </c>
      <c r="BJ41" s="63" t="str">
        <f t="shared" si="101"/>
        <v/>
      </c>
      <c r="BK41" s="63" t="str">
        <f t="shared" si="102"/>
        <v/>
      </c>
      <c r="BL41" s="63" t="str">
        <f t="shared" si="103"/>
        <v/>
      </c>
      <c r="BM41" s="63" t="str">
        <f t="shared" si="104"/>
        <v/>
      </c>
      <c r="BN41" s="63" t="str">
        <f t="shared" si="105"/>
        <v/>
      </c>
      <c r="BO41" s="63" t="str">
        <f t="shared" si="106"/>
        <v/>
      </c>
      <c r="BP41" s="63" t="str">
        <f t="shared" si="107"/>
        <v/>
      </c>
      <c r="BQ41" s="63" t="str">
        <f t="shared" si="108"/>
        <v/>
      </c>
      <c r="BR41" s="63" t="str">
        <f t="shared" si="109"/>
        <v/>
      </c>
      <c r="BS41" s="63" t="str">
        <f t="shared" si="110"/>
        <v/>
      </c>
      <c r="BT41" s="63" t="str">
        <f t="shared" si="111"/>
        <v/>
      </c>
      <c r="BU41" s="63" t="str">
        <f t="shared" si="112"/>
        <v/>
      </c>
      <c r="BV41" s="63" t="str">
        <f t="shared" si="113"/>
        <v/>
      </c>
      <c r="BW41" s="63" t="str">
        <f t="shared" si="114"/>
        <v/>
      </c>
      <c r="BX41" s="63" t="str">
        <f t="shared" si="115"/>
        <v/>
      </c>
      <c r="BY41" s="63" t="str">
        <f t="shared" si="116"/>
        <v/>
      </c>
      <c r="BZ41" s="63" t="str">
        <f t="shared" si="117"/>
        <v/>
      </c>
      <c r="CA41" s="63" t="str">
        <f t="shared" si="118"/>
        <v/>
      </c>
      <c r="CB41" s="63" t="str">
        <f t="shared" si="119"/>
        <v/>
      </c>
      <c r="CC41" s="63" t="str">
        <f t="shared" si="120"/>
        <v/>
      </c>
      <c r="CD41" s="63" t="str">
        <f t="shared" si="121"/>
        <v/>
      </c>
      <c r="CE41" s="63" t="str">
        <f t="shared" si="122"/>
        <v/>
      </c>
      <c r="CF41" s="63" t="str">
        <f t="shared" si="123"/>
        <v/>
      </c>
      <c r="CG41" s="63" t="str">
        <f t="shared" si="124"/>
        <v/>
      </c>
      <c r="CH41" s="63" t="str">
        <f t="shared" si="125"/>
        <v/>
      </c>
      <c r="CI41" s="63" t="str">
        <f t="shared" si="126"/>
        <v/>
      </c>
      <c r="CJ41" s="63" t="str">
        <f t="shared" si="127"/>
        <v/>
      </c>
      <c r="CK41" s="63" t="str">
        <f t="shared" si="128"/>
        <v/>
      </c>
      <c r="CL41" s="63" t="str">
        <f t="shared" si="129"/>
        <v/>
      </c>
      <c r="CM41" s="63" t="str">
        <f t="shared" si="130"/>
        <v/>
      </c>
      <c r="CN41" s="63" t="str">
        <f t="shared" si="131"/>
        <v/>
      </c>
      <c r="CO41" s="63" t="str">
        <f t="shared" si="132"/>
        <v/>
      </c>
      <c r="CP41" s="63" t="str">
        <f t="shared" si="133"/>
        <v/>
      </c>
    </row>
    <row r="42" spans="1:94" ht="15" customHeight="1" x14ac:dyDescent="0.25">
      <c r="A42" s="744"/>
      <c r="B42" s="93">
        <v>3</v>
      </c>
      <c r="C42" s="241" t="s">
        <v>349</v>
      </c>
      <c r="D42" s="371"/>
      <c r="E42" s="471"/>
      <c r="F42" s="371"/>
      <c r="G42" s="296"/>
      <c r="H42" s="371"/>
      <c r="I42" s="371"/>
      <c r="J42" s="371"/>
      <c r="K42" s="472"/>
      <c r="L42" s="301"/>
      <c r="M42" s="301"/>
      <c r="N42" s="371"/>
      <c r="O42" s="371"/>
      <c r="P42" s="371"/>
      <c r="Q42" s="371"/>
      <c r="R42" s="296" t="s">
        <v>101</v>
      </c>
      <c r="S42" s="371" t="s">
        <v>102</v>
      </c>
      <c r="T42" s="371"/>
      <c r="U42" s="371"/>
      <c r="V42" s="371"/>
      <c r="W42" s="371"/>
      <c r="X42" s="371"/>
      <c r="Y42" s="371"/>
      <c r="Z42" s="296"/>
      <c r="AA42" s="371"/>
      <c r="AB42" s="301"/>
      <c r="AC42" s="328"/>
      <c r="AD42" s="337"/>
      <c r="AE42" s="375"/>
      <c r="AF42" s="63" t="str">
        <f t="shared" si="71"/>
        <v/>
      </c>
      <c r="AG42" s="63" t="str">
        <f t="shared" si="72"/>
        <v/>
      </c>
      <c r="AH42" s="63" t="str">
        <f>IF(COUNTIF($D42:$AE42,"T4")&gt;=1,COUNTIF($D42:$AE42,"T4"),"")</f>
        <v/>
      </c>
      <c r="AI42" s="63" t="str">
        <f t="shared" si="74"/>
        <v/>
      </c>
      <c r="AJ42" s="63" t="str">
        <f t="shared" si="75"/>
        <v/>
      </c>
      <c r="AK42" s="63" t="str">
        <f t="shared" si="76"/>
        <v/>
      </c>
      <c r="AL42" s="63" t="str">
        <f t="shared" si="77"/>
        <v/>
      </c>
      <c r="AM42" s="63" t="str">
        <f t="shared" si="78"/>
        <v/>
      </c>
      <c r="AN42" s="63" t="str">
        <f t="shared" si="79"/>
        <v/>
      </c>
      <c r="AO42" s="63" t="str">
        <f t="shared" si="80"/>
        <v/>
      </c>
      <c r="AP42" s="63" t="str">
        <f t="shared" si="81"/>
        <v/>
      </c>
      <c r="AQ42" s="63" t="str">
        <f t="shared" si="82"/>
        <v/>
      </c>
      <c r="AR42" s="63" t="str">
        <f t="shared" si="83"/>
        <v/>
      </c>
      <c r="AS42" s="63" t="str">
        <f t="shared" si="84"/>
        <v/>
      </c>
      <c r="AT42" s="63" t="str">
        <f t="shared" si="85"/>
        <v/>
      </c>
      <c r="AU42" s="63" t="str">
        <f t="shared" si="86"/>
        <v/>
      </c>
      <c r="AV42" s="63" t="str">
        <f t="shared" si="87"/>
        <v/>
      </c>
      <c r="AW42" s="63" t="str">
        <f t="shared" si="88"/>
        <v/>
      </c>
      <c r="AX42" s="63" t="str">
        <f t="shared" si="89"/>
        <v/>
      </c>
      <c r="AY42" s="63" t="str">
        <f t="shared" si="90"/>
        <v/>
      </c>
      <c r="AZ42" s="63" t="str">
        <f t="shared" si="91"/>
        <v/>
      </c>
      <c r="BA42" s="63" t="str">
        <f t="shared" si="92"/>
        <v/>
      </c>
      <c r="BB42" s="63" t="str">
        <f t="shared" si="93"/>
        <v/>
      </c>
      <c r="BC42" s="63" t="str">
        <f t="shared" si="94"/>
        <v/>
      </c>
      <c r="BD42" s="63" t="str">
        <f t="shared" si="95"/>
        <v/>
      </c>
      <c r="BE42" s="63" t="str">
        <f t="shared" si="96"/>
        <v/>
      </c>
      <c r="BF42" s="63" t="str">
        <f t="shared" si="97"/>
        <v/>
      </c>
      <c r="BG42" s="63" t="str">
        <f t="shared" si="98"/>
        <v/>
      </c>
      <c r="BH42" s="63" t="str">
        <f t="shared" si="99"/>
        <v/>
      </c>
      <c r="BI42" s="63" t="str">
        <f t="shared" si="100"/>
        <v/>
      </c>
      <c r="BJ42" s="63" t="str">
        <f t="shared" si="101"/>
        <v/>
      </c>
      <c r="BK42" s="63" t="str">
        <f t="shared" si="102"/>
        <v/>
      </c>
      <c r="BL42" s="63" t="str">
        <f t="shared" si="103"/>
        <v/>
      </c>
      <c r="BM42" s="63" t="str">
        <f t="shared" si="104"/>
        <v/>
      </c>
      <c r="BN42" s="63" t="str">
        <f t="shared" si="105"/>
        <v/>
      </c>
      <c r="BO42" s="63" t="str">
        <f t="shared" si="106"/>
        <v/>
      </c>
      <c r="BP42" s="63" t="str">
        <f t="shared" si="107"/>
        <v/>
      </c>
      <c r="BQ42" s="63" t="str">
        <f t="shared" si="108"/>
        <v/>
      </c>
      <c r="BR42" s="63" t="str">
        <f t="shared" si="109"/>
        <v/>
      </c>
      <c r="BS42" s="63" t="str">
        <f t="shared" si="110"/>
        <v/>
      </c>
      <c r="BT42" s="63" t="str">
        <f t="shared" si="111"/>
        <v/>
      </c>
      <c r="BU42" s="63" t="str">
        <f t="shared" si="112"/>
        <v/>
      </c>
      <c r="BV42" s="63" t="str">
        <f t="shared" si="113"/>
        <v/>
      </c>
      <c r="BW42" s="63" t="str">
        <f t="shared" si="114"/>
        <v/>
      </c>
      <c r="BX42" s="63" t="str">
        <f t="shared" si="115"/>
        <v/>
      </c>
      <c r="BY42" s="63" t="str">
        <f t="shared" si="116"/>
        <v/>
      </c>
      <c r="BZ42" s="63" t="str">
        <f t="shared" si="117"/>
        <v/>
      </c>
      <c r="CA42" s="63" t="str">
        <f t="shared" si="118"/>
        <v/>
      </c>
      <c r="CB42" s="63" t="str">
        <f t="shared" si="119"/>
        <v/>
      </c>
      <c r="CC42" s="63" t="str">
        <f t="shared" si="120"/>
        <v/>
      </c>
      <c r="CD42" s="63" t="str">
        <f t="shared" si="121"/>
        <v/>
      </c>
      <c r="CE42" s="63" t="str">
        <f>IF(COUNTIF($D42:$AE42,"A2")&gt;=1,COUNTIF($D42:$AE42,"A2"),"")</f>
        <v/>
      </c>
      <c r="CF42" s="63" t="str">
        <f t="shared" si="123"/>
        <v/>
      </c>
      <c r="CG42" s="63" t="str">
        <f t="shared" si="124"/>
        <v/>
      </c>
      <c r="CH42" s="63" t="str">
        <f t="shared" si="125"/>
        <v/>
      </c>
      <c r="CI42" s="63" t="str">
        <f t="shared" si="126"/>
        <v/>
      </c>
      <c r="CJ42" s="63" t="str">
        <f t="shared" si="127"/>
        <v/>
      </c>
      <c r="CK42" s="63" t="str">
        <f t="shared" si="128"/>
        <v/>
      </c>
      <c r="CL42" s="63" t="str">
        <f t="shared" si="129"/>
        <v/>
      </c>
      <c r="CM42" s="63">
        <f t="shared" si="130"/>
        <v>1</v>
      </c>
      <c r="CN42" s="63">
        <f t="shared" si="131"/>
        <v>1</v>
      </c>
      <c r="CO42" s="63" t="str">
        <f t="shared" si="132"/>
        <v/>
      </c>
      <c r="CP42" s="63" t="str">
        <f t="shared" si="133"/>
        <v/>
      </c>
    </row>
    <row r="43" spans="1:94" ht="15" customHeight="1" x14ac:dyDescent="0.25">
      <c r="A43" s="744"/>
      <c r="B43" s="94">
        <v>4</v>
      </c>
      <c r="C43" s="242" t="s">
        <v>350</v>
      </c>
      <c r="D43" s="372"/>
      <c r="E43" s="372"/>
      <c r="F43" s="295"/>
      <c r="G43" s="372"/>
      <c r="H43" s="372"/>
      <c r="I43" s="372"/>
      <c r="J43" s="372"/>
      <c r="K43" s="372"/>
      <c r="L43" s="372"/>
      <c r="M43" s="372"/>
      <c r="N43" s="372"/>
      <c r="O43" s="376"/>
      <c r="P43" s="372"/>
      <c r="Q43" s="372"/>
      <c r="R43" s="372" t="s">
        <v>102</v>
      </c>
      <c r="S43" s="295" t="s">
        <v>101</v>
      </c>
      <c r="T43" s="372"/>
      <c r="U43" s="295"/>
      <c r="V43" s="372"/>
      <c r="W43" s="372"/>
      <c r="X43" s="372"/>
      <c r="Y43" s="372"/>
      <c r="Z43" s="372"/>
      <c r="AA43" s="295"/>
      <c r="AB43" s="372"/>
      <c r="AC43" s="330"/>
      <c r="AD43" s="330"/>
      <c r="AE43" s="377"/>
      <c r="AF43" s="63" t="str">
        <f t="shared" si="71"/>
        <v/>
      </c>
      <c r="AG43" s="63" t="str">
        <f t="shared" si="72"/>
        <v/>
      </c>
      <c r="AH43" s="63" t="str">
        <f>IF(COUNTIF($D43:$AE43,"T4")&gt;=1,COUNTIF($D43:$AE43,"T4"),"")</f>
        <v/>
      </c>
      <c r="AI43" s="63" t="str">
        <f t="shared" si="74"/>
        <v/>
      </c>
      <c r="AJ43" s="63" t="str">
        <f t="shared" si="75"/>
        <v/>
      </c>
      <c r="AK43" s="63" t="str">
        <f t="shared" si="76"/>
        <v/>
      </c>
      <c r="AL43" s="63" t="str">
        <f t="shared" si="77"/>
        <v/>
      </c>
      <c r="AM43" s="63" t="str">
        <f t="shared" si="78"/>
        <v/>
      </c>
      <c r="AN43" s="63" t="str">
        <f t="shared" si="79"/>
        <v/>
      </c>
      <c r="AO43" s="63" t="str">
        <f t="shared" si="80"/>
        <v/>
      </c>
      <c r="AP43" s="63" t="str">
        <f t="shared" si="81"/>
        <v/>
      </c>
      <c r="AQ43" s="63" t="str">
        <f t="shared" si="82"/>
        <v/>
      </c>
      <c r="AR43" s="63" t="str">
        <f t="shared" si="83"/>
        <v/>
      </c>
      <c r="AS43" s="63" t="str">
        <f t="shared" si="84"/>
        <v/>
      </c>
      <c r="AT43" s="63" t="str">
        <f t="shared" si="85"/>
        <v/>
      </c>
      <c r="AU43" s="63" t="str">
        <f t="shared" si="86"/>
        <v/>
      </c>
      <c r="AV43" s="63" t="str">
        <f t="shared" si="87"/>
        <v/>
      </c>
      <c r="AW43" s="63" t="str">
        <f t="shared" si="88"/>
        <v/>
      </c>
      <c r="AX43" s="63" t="str">
        <f t="shared" si="89"/>
        <v/>
      </c>
      <c r="AY43" s="63" t="str">
        <f t="shared" si="90"/>
        <v/>
      </c>
      <c r="AZ43" s="63" t="str">
        <f t="shared" si="91"/>
        <v/>
      </c>
      <c r="BA43" s="63" t="str">
        <f t="shared" si="92"/>
        <v/>
      </c>
      <c r="BB43" s="63" t="str">
        <f t="shared" si="93"/>
        <v/>
      </c>
      <c r="BC43" s="63" t="str">
        <f t="shared" si="94"/>
        <v/>
      </c>
      <c r="BD43" s="63" t="str">
        <f t="shared" si="95"/>
        <v/>
      </c>
      <c r="BE43" s="63" t="str">
        <f t="shared" si="96"/>
        <v/>
      </c>
      <c r="BF43" s="63" t="str">
        <f t="shared" si="97"/>
        <v/>
      </c>
      <c r="BG43" s="63" t="str">
        <f t="shared" si="98"/>
        <v/>
      </c>
      <c r="BH43" s="63" t="str">
        <f t="shared" si="99"/>
        <v/>
      </c>
      <c r="BI43" s="63" t="str">
        <f t="shared" si="100"/>
        <v/>
      </c>
      <c r="BJ43" s="63" t="str">
        <f t="shared" si="101"/>
        <v/>
      </c>
      <c r="BK43" s="63" t="str">
        <f t="shared" si="102"/>
        <v/>
      </c>
      <c r="BL43" s="63" t="str">
        <f t="shared" si="103"/>
        <v/>
      </c>
      <c r="BM43" s="63" t="str">
        <f t="shared" si="104"/>
        <v/>
      </c>
      <c r="BN43" s="63" t="str">
        <f t="shared" si="105"/>
        <v/>
      </c>
      <c r="BO43" s="63" t="str">
        <f t="shared" si="106"/>
        <v/>
      </c>
      <c r="BP43" s="63" t="str">
        <f t="shared" si="107"/>
        <v/>
      </c>
      <c r="BQ43" s="63" t="str">
        <f t="shared" si="108"/>
        <v/>
      </c>
      <c r="BR43" s="63" t="str">
        <f t="shared" si="109"/>
        <v/>
      </c>
      <c r="BS43" s="63" t="str">
        <f t="shared" si="110"/>
        <v/>
      </c>
      <c r="BT43" s="63" t="str">
        <f t="shared" si="111"/>
        <v/>
      </c>
      <c r="BU43" s="63" t="str">
        <f t="shared" si="112"/>
        <v/>
      </c>
      <c r="BV43" s="63" t="str">
        <f t="shared" si="113"/>
        <v/>
      </c>
      <c r="BW43" s="63" t="str">
        <f t="shared" si="114"/>
        <v/>
      </c>
      <c r="BX43" s="63" t="str">
        <f t="shared" si="115"/>
        <v/>
      </c>
      <c r="BY43" s="63" t="str">
        <f t="shared" si="116"/>
        <v/>
      </c>
      <c r="BZ43" s="63" t="str">
        <f t="shared" si="117"/>
        <v/>
      </c>
      <c r="CA43" s="63" t="str">
        <f t="shared" si="118"/>
        <v/>
      </c>
      <c r="CB43" s="63" t="str">
        <f t="shared" si="119"/>
        <v/>
      </c>
      <c r="CC43" s="63" t="str">
        <f t="shared" si="120"/>
        <v/>
      </c>
      <c r="CD43" s="63" t="str">
        <f t="shared" si="121"/>
        <v/>
      </c>
      <c r="CE43" s="63" t="str">
        <f>IF(COUNTIF($D43:$AE43,"A2")&gt;=1,COUNTIF($D43:$AE43,"A2"),"")</f>
        <v/>
      </c>
      <c r="CF43" s="63" t="str">
        <f t="shared" si="123"/>
        <v/>
      </c>
      <c r="CG43" s="63" t="str">
        <f t="shared" si="124"/>
        <v/>
      </c>
      <c r="CH43" s="63" t="str">
        <f t="shared" si="125"/>
        <v/>
      </c>
      <c r="CI43" s="63" t="str">
        <f t="shared" si="126"/>
        <v/>
      </c>
      <c r="CJ43" s="63" t="str">
        <f t="shared" si="127"/>
        <v/>
      </c>
      <c r="CK43" s="63" t="str">
        <f t="shared" si="128"/>
        <v/>
      </c>
      <c r="CL43" s="63" t="str">
        <f t="shared" si="129"/>
        <v/>
      </c>
      <c r="CM43" s="63">
        <f t="shared" si="130"/>
        <v>1</v>
      </c>
      <c r="CN43" s="63">
        <f t="shared" si="131"/>
        <v>1</v>
      </c>
      <c r="CO43" s="63" t="str">
        <f t="shared" si="132"/>
        <v/>
      </c>
      <c r="CP43" s="63" t="str">
        <f t="shared" si="133"/>
        <v/>
      </c>
    </row>
    <row r="44" spans="1:94" s="98" customFormat="1" ht="15" customHeight="1" x14ac:dyDescent="0.25">
      <c r="A44" s="743">
        <v>3</v>
      </c>
      <c r="B44" s="97">
        <v>1</v>
      </c>
      <c r="C44" s="244" t="s">
        <v>347</v>
      </c>
      <c r="D44" s="505"/>
      <c r="E44" s="505"/>
      <c r="F44" s="505"/>
      <c r="G44" s="505"/>
      <c r="H44" s="505"/>
      <c r="I44" s="505"/>
      <c r="J44" s="505"/>
      <c r="K44" s="505"/>
      <c r="L44" s="505" t="s">
        <v>104</v>
      </c>
      <c r="M44" s="514" t="s">
        <v>425</v>
      </c>
      <c r="N44" s="505"/>
      <c r="O44" s="505"/>
      <c r="P44" s="505"/>
      <c r="Q44" s="505"/>
      <c r="R44" s="505"/>
      <c r="S44" s="505"/>
      <c r="T44" s="505"/>
      <c r="U44" s="505" t="s">
        <v>102</v>
      </c>
      <c r="V44" s="505" t="s">
        <v>103</v>
      </c>
      <c r="W44" s="505"/>
      <c r="X44" s="514" t="s">
        <v>100</v>
      </c>
      <c r="Y44" s="505" t="s">
        <v>101</v>
      </c>
      <c r="Z44" s="505"/>
      <c r="AA44" s="505"/>
      <c r="AB44" s="505"/>
      <c r="AC44" s="505"/>
      <c r="AD44" s="505"/>
      <c r="AE44" s="509"/>
      <c r="AF44" s="132" t="str">
        <f t="shared" si="71"/>
        <v/>
      </c>
      <c r="AG44" s="132" t="str">
        <f t="shared" si="72"/>
        <v/>
      </c>
      <c r="AH44" s="132" t="str">
        <f t="shared" si="73"/>
        <v/>
      </c>
      <c r="AI44" s="132" t="str">
        <f t="shared" si="74"/>
        <v/>
      </c>
      <c r="AJ44" s="132" t="str">
        <f t="shared" si="75"/>
        <v/>
      </c>
      <c r="AK44" s="132" t="str">
        <f t="shared" si="76"/>
        <v/>
      </c>
      <c r="AL44" s="132" t="str">
        <f t="shared" si="77"/>
        <v/>
      </c>
      <c r="AM44" s="132" t="str">
        <f t="shared" si="78"/>
        <v/>
      </c>
      <c r="AN44" s="132" t="str">
        <f t="shared" si="79"/>
        <v/>
      </c>
      <c r="AO44" s="132" t="str">
        <f t="shared" si="80"/>
        <v/>
      </c>
      <c r="AP44" s="132" t="str">
        <f t="shared" si="81"/>
        <v/>
      </c>
      <c r="AQ44" s="132" t="str">
        <f t="shared" si="82"/>
        <v/>
      </c>
      <c r="AR44" s="132" t="str">
        <f t="shared" si="83"/>
        <v/>
      </c>
      <c r="AS44" s="132" t="str">
        <f t="shared" si="84"/>
        <v/>
      </c>
      <c r="AT44" s="132" t="str">
        <f t="shared" si="85"/>
        <v/>
      </c>
      <c r="AU44" s="132" t="str">
        <f t="shared" si="86"/>
        <v/>
      </c>
      <c r="AV44" s="132" t="str">
        <f t="shared" si="87"/>
        <v/>
      </c>
      <c r="AW44" s="132" t="str">
        <f t="shared" si="88"/>
        <v/>
      </c>
      <c r="AX44" s="132" t="str">
        <f t="shared" si="89"/>
        <v/>
      </c>
      <c r="AY44" s="132" t="str">
        <f t="shared" si="90"/>
        <v/>
      </c>
      <c r="AZ44" s="132" t="str">
        <f>IF(COUNTIF($D44:$AE44,"LC8")&gt;=1,COUNTIF($D44:$AE44,"LC8"),"")</f>
        <v/>
      </c>
      <c r="BA44" s="132" t="str">
        <f t="shared" si="92"/>
        <v/>
      </c>
      <c r="BB44" s="132" t="str">
        <f t="shared" si="93"/>
        <v/>
      </c>
      <c r="BC44" s="132" t="str">
        <f t="shared" si="94"/>
        <v/>
      </c>
      <c r="BD44" s="132" t="str">
        <f t="shared" si="95"/>
        <v/>
      </c>
      <c r="BE44" s="132" t="str">
        <f t="shared" si="96"/>
        <v/>
      </c>
      <c r="BF44" s="132" t="str">
        <f t="shared" si="97"/>
        <v/>
      </c>
      <c r="BG44" s="132" t="str">
        <f t="shared" si="98"/>
        <v/>
      </c>
      <c r="BH44" s="132" t="str">
        <f t="shared" si="99"/>
        <v/>
      </c>
      <c r="BI44" s="132" t="str">
        <f t="shared" si="100"/>
        <v/>
      </c>
      <c r="BJ44" s="132" t="str">
        <f t="shared" si="101"/>
        <v/>
      </c>
      <c r="BK44" s="132" t="str">
        <f t="shared" si="102"/>
        <v/>
      </c>
      <c r="BL44" s="132" t="str">
        <f t="shared" si="103"/>
        <v/>
      </c>
      <c r="BM44" s="132" t="str">
        <f t="shared" si="104"/>
        <v/>
      </c>
      <c r="BN44" s="132" t="str">
        <f t="shared" si="105"/>
        <v/>
      </c>
      <c r="BO44" s="132" t="str">
        <f t="shared" si="106"/>
        <v/>
      </c>
      <c r="BP44" s="132" t="str">
        <f t="shared" si="107"/>
        <v/>
      </c>
      <c r="BQ44" s="132" t="str">
        <f t="shared" si="108"/>
        <v/>
      </c>
      <c r="BR44" s="132" t="str">
        <f t="shared" si="109"/>
        <v/>
      </c>
      <c r="BS44" s="132" t="str">
        <f t="shared" si="110"/>
        <v/>
      </c>
      <c r="BT44" s="132" t="str">
        <f t="shared" si="111"/>
        <v/>
      </c>
      <c r="BU44" s="132" t="str">
        <f t="shared" si="112"/>
        <v/>
      </c>
      <c r="BV44" s="132" t="str">
        <f t="shared" si="113"/>
        <v/>
      </c>
      <c r="BW44" s="132" t="str">
        <f t="shared" si="114"/>
        <v/>
      </c>
      <c r="BX44" s="132" t="str">
        <f t="shared" si="115"/>
        <v/>
      </c>
      <c r="BY44" s="132" t="str">
        <f t="shared" si="116"/>
        <v/>
      </c>
      <c r="BZ44" s="132" t="str">
        <f t="shared" si="117"/>
        <v/>
      </c>
      <c r="CA44" s="132" t="str">
        <f t="shared" si="118"/>
        <v/>
      </c>
      <c r="CB44" s="132" t="str">
        <f t="shared" si="119"/>
        <v/>
      </c>
      <c r="CC44" s="132" t="str">
        <f t="shared" si="120"/>
        <v/>
      </c>
      <c r="CD44" s="132" t="str">
        <f t="shared" si="121"/>
        <v/>
      </c>
      <c r="CE44" s="132" t="str">
        <f t="shared" si="122"/>
        <v/>
      </c>
      <c r="CF44" s="132" t="str">
        <f t="shared" si="123"/>
        <v/>
      </c>
      <c r="CG44" s="132" t="str">
        <f t="shared" si="124"/>
        <v/>
      </c>
      <c r="CH44" s="132" t="str">
        <f t="shared" si="125"/>
        <v/>
      </c>
      <c r="CI44" s="132" t="str">
        <f t="shared" si="126"/>
        <v/>
      </c>
      <c r="CJ44" s="132" t="str">
        <f t="shared" si="127"/>
        <v/>
      </c>
      <c r="CK44" s="132">
        <f t="shared" si="128"/>
        <v>1</v>
      </c>
      <c r="CL44" s="132">
        <f t="shared" si="129"/>
        <v>1</v>
      </c>
      <c r="CM44" s="132">
        <f t="shared" si="130"/>
        <v>1</v>
      </c>
      <c r="CN44" s="132">
        <f t="shared" si="131"/>
        <v>1</v>
      </c>
      <c r="CO44" s="132">
        <f t="shared" si="132"/>
        <v>1</v>
      </c>
      <c r="CP44" s="132">
        <f t="shared" si="133"/>
        <v>1</v>
      </c>
    </row>
    <row r="45" spans="1:94" s="98" customFormat="1" ht="14.45" customHeight="1" x14ac:dyDescent="0.25">
      <c r="A45" s="743"/>
      <c r="B45" s="99">
        <v>2</v>
      </c>
      <c r="C45" s="245" t="s">
        <v>348</v>
      </c>
      <c r="D45" s="505"/>
      <c r="E45" s="505"/>
      <c r="F45" s="505"/>
      <c r="G45" s="505"/>
      <c r="H45" s="505"/>
      <c r="I45" s="505"/>
      <c r="J45" s="505"/>
      <c r="K45" s="505"/>
      <c r="L45" s="514" t="s">
        <v>425</v>
      </c>
      <c r="M45" s="505" t="s">
        <v>104</v>
      </c>
      <c r="N45" s="505"/>
      <c r="O45" s="505"/>
      <c r="P45" s="505"/>
      <c r="Q45" s="505"/>
      <c r="R45" s="505"/>
      <c r="S45" s="505"/>
      <c r="T45" s="505" t="s">
        <v>102</v>
      </c>
      <c r="U45" s="505"/>
      <c r="V45" s="505"/>
      <c r="W45" s="505" t="s">
        <v>103</v>
      </c>
      <c r="X45" s="505" t="s">
        <v>101</v>
      </c>
      <c r="Y45" s="514" t="s">
        <v>100</v>
      </c>
      <c r="Z45" s="505"/>
      <c r="AA45" s="505"/>
      <c r="AB45" s="505"/>
      <c r="AC45" s="505"/>
      <c r="AD45" s="505"/>
      <c r="AE45" s="513"/>
      <c r="AF45" s="132" t="str">
        <f t="shared" si="71"/>
        <v/>
      </c>
      <c r="AG45" s="132" t="str">
        <f t="shared" si="72"/>
        <v/>
      </c>
      <c r="AH45" s="132" t="str">
        <f t="shared" si="73"/>
        <v/>
      </c>
      <c r="AI45" s="132" t="str">
        <f t="shared" si="74"/>
        <v/>
      </c>
      <c r="AJ45" s="132" t="str">
        <f t="shared" si="75"/>
        <v/>
      </c>
      <c r="AK45" s="132" t="str">
        <f t="shared" si="76"/>
        <v/>
      </c>
      <c r="AL45" s="132" t="str">
        <f t="shared" si="77"/>
        <v/>
      </c>
      <c r="AM45" s="132" t="str">
        <f t="shared" si="78"/>
        <v/>
      </c>
      <c r="AN45" s="132" t="str">
        <f t="shared" si="79"/>
        <v/>
      </c>
      <c r="AO45" s="132" t="str">
        <f t="shared" si="80"/>
        <v/>
      </c>
      <c r="AP45" s="132" t="str">
        <f t="shared" si="81"/>
        <v/>
      </c>
      <c r="AQ45" s="132" t="str">
        <f t="shared" si="82"/>
        <v/>
      </c>
      <c r="AR45" s="132" t="str">
        <f t="shared" si="83"/>
        <v/>
      </c>
      <c r="AS45" s="132" t="str">
        <f t="shared" si="84"/>
        <v/>
      </c>
      <c r="AT45" s="132" t="str">
        <f t="shared" si="85"/>
        <v/>
      </c>
      <c r="AU45" s="132" t="str">
        <f t="shared" si="86"/>
        <v/>
      </c>
      <c r="AV45" s="132" t="str">
        <f t="shared" si="87"/>
        <v/>
      </c>
      <c r="AW45" s="132" t="str">
        <f t="shared" si="88"/>
        <v/>
      </c>
      <c r="AX45" s="132" t="str">
        <f t="shared" si="89"/>
        <v/>
      </c>
      <c r="AY45" s="132" t="str">
        <f t="shared" si="90"/>
        <v/>
      </c>
      <c r="AZ45" s="132" t="str">
        <f>IF(COUNTIF($D45:$AE45,"LC8")&gt;=1,COUNTIF($D45:$AE45,"LC8"),"")</f>
        <v/>
      </c>
      <c r="BA45" s="132" t="str">
        <f t="shared" si="92"/>
        <v/>
      </c>
      <c r="BB45" s="132" t="str">
        <f t="shared" si="93"/>
        <v/>
      </c>
      <c r="BC45" s="132" t="str">
        <f t="shared" si="94"/>
        <v/>
      </c>
      <c r="BD45" s="132" t="str">
        <f t="shared" si="95"/>
        <v/>
      </c>
      <c r="BE45" s="132" t="str">
        <f t="shared" si="96"/>
        <v/>
      </c>
      <c r="BF45" s="132" t="str">
        <f t="shared" si="97"/>
        <v/>
      </c>
      <c r="BG45" s="132" t="str">
        <f t="shared" si="98"/>
        <v/>
      </c>
      <c r="BH45" s="132" t="str">
        <f t="shared" si="99"/>
        <v/>
      </c>
      <c r="BI45" s="132" t="str">
        <f t="shared" si="100"/>
        <v/>
      </c>
      <c r="BJ45" s="132" t="str">
        <f t="shared" si="101"/>
        <v/>
      </c>
      <c r="BK45" s="132" t="str">
        <f t="shared" si="102"/>
        <v/>
      </c>
      <c r="BL45" s="132" t="str">
        <f t="shared" si="103"/>
        <v/>
      </c>
      <c r="BM45" s="132" t="str">
        <f t="shared" si="104"/>
        <v/>
      </c>
      <c r="BN45" s="132" t="str">
        <f t="shared" si="105"/>
        <v/>
      </c>
      <c r="BO45" s="132" t="str">
        <f t="shared" si="106"/>
        <v/>
      </c>
      <c r="BP45" s="132" t="str">
        <f t="shared" si="107"/>
        <v/>
      </c>
      <c r="BQ45" s="132" t="str">
        <f t="shared" si="108"/>
        <v/>
      </c>
      <c r="BR45" s="132" t="str">
        <f t="shared" si="109"/>
        <v/>
      </c>
      <c r="BS45" s="132" t="str">
        <f t="shared" si="110"/>
        <v/>
      </c>
      <c r="BT45" s="132" t="str">
        <f t="shared" si="111"/>
        <v/>
      </c>
      <c r="BU45" s="132" t="str">
        <f t="shared" si="112"/>
        <v/>
      </c>
      <c r="BV45" s="132" t="str">
        <f t="shared" si="113"/>
        <v/>
      </c>
      <c r="BW45" s="132" t="str">
        <f t="shared" si="114"/>
        <v/>
      </c>
      <c r="BX45" s="132" t="str">
        <f t="shared" si="115"/>
        <v/>
      </c>
      <c r="BY45" s="132" t="str">
        <f t="shared" si="116"/>
        <v/>
      </c>
      <c r="BZ45" s="132" t="str">
        <f t="shared" si="117"/>
        <v/>
      </c>
      <c r="CA45" s="132" t="str">
        <f t="shared" si="118"/>
        <v/>
      </c>
      <c r="CB45" s="132" t="str">
        <f t="shared" si="119"/>
        <v/>
      </c>
      <c r="CC45" s="132" t="str">
        <f t="shared" si="120"/>
        <v/>
      </c>
      <c r="CD45" s="132" t="str">
        <f t="shared" si="121"/>
        <v/>
      </c>
      <c r="CE45" s="132" t="str">
        <f t="shared" si="122"/>
        <v/>
      </c>
      <c r="CF45" s="132" t="str">
        <f t="shared" si="123"/>
        <v/>
      </c>
      <c r="CG45" s="132" t="str">
        <f t="shared" si="124"/>
        <v/>
      </c>
      <c r="CH45" s="132" t="str">
        <f t="shared" si="125"/>
        <v/>
      </c>
      <c r="CI45" s="132" t="str">
        <f t="shared" si="126"/>
        <v/>
      </c>
      <c r="CJ45" s="132" t="str">
        <f t="shared" si="127"/>
        <v/>
      </c>
      <c r="CK45" s="132">
        <f t="shared" si="128"/>
        <v>1</v>
      </c>
      <c r="CL45" s="132">
        <f t="shared" si="129"/>
        <v>1</v>
      </c>
      <c r="CM45" s="132">
        <f t="shared" si="130"/>
        <v>1</v>
      </c>
      <c r="CN45" s="132">
        <f t="shared" si="131"/>
        <v>1</v>
      </c>
      <c r="CO45" s="132">
        <f>IF(COUNTIF($D45:$AE45,"TQ4")&gt;=1,COUNTIF($D45:$AE45,"TQ4"),"")</f>
        <v>1</v>
      </c>
      <c r="CP45" s="132">
        <f t="shared" si="133"/>
        <v>1</v>
      </c>
    </row>
    <row r="46" spans="1:94" s="98" customFormat="1" ht="15" customHeight="1" x14ac:dyDescent="0.25">
      <c r="A46" s="743"/>
      <c r="B46" s="99">
        <v>3</v>
      </c>
      <c r="C46" s="245" t="s">
        <v>349</v>
      </c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 t="s">
        <v>104</v>
      </c>
      <c r="O46" s="514" t="s">
        <v>425</v>
      </c>
      <c r="P46" s="505"/>
      <c r="Q46" s="505" t="s">
        <v>102</v>
      </c>
      <c r="R46" s="505"/>
      <c r="S46" s="505"/>
      <c r="T46" s="505"/>
      <c r="U46" s="505"/>
      <c r="V46" s="505"/>
      <c r="W46" s="505"/>
      <c r="X46" s="505"/>
      <c r="Y46" s="505"/>
      <c r="Z46" s="514" t="s">
        <v>100</v>
      </c>
      <c r="AA46" s="505" t="s">
        <v>101</v>
      </c>
      <c r="AB46" s="505"/>
      <c r="AC46" s="505"/>
      <c r="AD46" s="505"/>
      <c r="AE46" s="518"/>
      <c r="AF46" s="132" t="str">
        <f t="shared" si="71"/>
        <v/>
      </c>
      <c r="AG46" s="132" t="str">
        <f t="shared" si="72"/>
        <v/>
      </c>
      <c r="AH46" s="132" t="str">
        <f t="shared" si="73"/>
        <v/>
      </c>
      <c r="AI46" s="132" t="str">
        <f t="shared" si="74"/>
        <v/>
      </c>
      <c r="AJ46" s="132" t="str">
        <f t="shared" si="75"/>
        <v/>
      </c>
      <c r="AK46" s="132" t="str">
        <f t="shared" si="76"/>
        <v/>
      </c>
      <c r="AL46" s="132" t="str">
        <f t="shared" si="77"/>
        <v/>
      </c>
      <c r="AM46" s="132" t="str">
        <f t="shared" si="78"/>
        <v/>
      </c>
      <c r="AN46" s="132" t="str">
        <f t="shared" si="79"/>
        <v/>
      </c>
      <c r="AO46" s="132" t="str">
        <f t="shared" si="80"/>
        <v/>
      </c>
      <c r="AP46" s="132" t="str">
        <f t="shared" si="81"/>
        <v/>
      </c>
      <c r="AQ46" s="132" t="str">
        <f t="shared" si="82"/>
        <v/>
      </c>
      <c r="AR46" s="132" t="str">
        <f t="shared" si="83"/>
        <v/>
      </c>
      <c r="AS46" s="132" t="str">
        <f t="shared" si="84"/>
        <v/>
      </c>
      <c r="AT46" s="132" t="str">
        <f t="shared" si="85"/>
        <v/>
      </c>
      <c r="AU46" s="132" t="str">
        <f t="shared" si="86"/>
        <v/>
      </c>
      <c r="AV46" s="132" t="str">
        <f t="shared" si="87"/>
        <v/>
      </c>
      <c r="AW46" s="132" t="str">
        <f t="shared" si="88"/>
        <v/>
      </c>
      <c r="AX46" s="132" t="str">
        <f t="shared" si="89"/>
        <v/>
      </c>
      <c r="AY46" s="132" t="str">
        <f t="shared" si="90"/>
        <v/>
      </c>
      <c r="AZ46" s="132" t="str">
        <f t="shared" si="91"/>
        <v/>
      </c>
      <c r="BA46" s="132" t="str">
        <f t="shared" si="92"/>
        <v/>
      </c>
      <c r="BB46" s="132" t="str">
        <f t="shared" si="93"/>
        <v/>
      </c>
      <c r="BC46" s="132" t="str">
        <f t="shared" si="94"/>
        <v/>
      </c>
      <c r="BD46" s="132" t="str">
        <f t="shared" si="95"/>
        <v/>
      </c>
      <c r="BE46" s="132" t="str">
        <f t="shared" si="96"/>
        <v/>
      </c>
      <c r="BF46" s="132" t="str">
        <f t="shared" si="97"/>
        <v/>
      </c>
      <c r="BG46" s="132" t="str">
        <f t="shared" si="98"/>
        <v/>
      </c>
      <c r="BH46" s="132" t="str">
        <f t="shared" si="99"/>
        <v/>
      </c>
      <c r="BI46" s="132" t="str">
        <f t="shared" si="100"/>
        <v/>
      </c>
      <c r="BJ46" s="132" t="str">
        <f t="shared" si="101"/>
        <v/>
      </c>
      <c r="BK46" s="132" t="str">
        <f t="shared" si="102"/>
        <v/>
      </c>
      <c r="BL46" s="132" t="str">
        <f t="shared" si="103"/>
        <v/>
      </c>
      <c r="BM46" s="132" t="str">
        <f t="shared" si="104"/>
        <v/>
      </c>
      <c r="BN46" s="132" t="str">
        <f t="shared" si="105"/>
        <v/>
      </c>
      <c r="BO46" s="132" t="str">
        <f t="shared" si="106"/>
        <v/>
      </c>
      <c r="BP46" s="132" t="str">
        <f t="shared" si="107"/>
        <v/>
      </c>
      <c r="BQ46" s="132" t="str">
        <f t="shared" si="108"/>
        <v/>
      </c>
      <c r="BR46" s="132" t="str">
        <f t="shared" si="109"/>
        <v/>
      </c>
      <c r="BS46" s="132" t="str">
        <f t="shared" si="110"/>
        <v/>
      </c>
      <c r="BT46" s="132" t="str">
        <f t="shared" si="111"/>
        <v/>
      </c>
      <c r="BU46" s="132" t="str">
        <f t="shared" si="112"/>
        <v/>
      </c>
      <c r="BV46" s="132" t="str">
        <f t="shared" si="113"/>
        <v/>
      </c>
      <c r="BW46" s="132" t="str">
        <f t="shared" si="114"/>
        <v/>
      </c>
      <c r="BX46" s="132" t="str">
        <f t="shared" si="115"/>
        <v/>
      </c>
      <c r="BY46" s="132" t="str">
        <f t="shared" si="116"/>
        <v/>
      </c>
      <c r="BZ46" s="132" t="str">
        <f t="shared" si="117"/>
        <v/>
      </c>
      <c r="CA46" s="132" t="str">
        <f t="shared" si="118"/>
        <v/>
      </c>
      <c r="CB46" s="132" t="str">
        <f t="shared" si="119"/>
        <v/>
      </c>
      <c r="CC46" s="132" t="str">
        <f t="shared" si="120"/>
        <v/>
      </c>
      <c r="CD46" s="132" t="str">
        <f t="shared" si="121"/>
        <v/>
      </c>
      <c r="CE46" s="132" t="str">
        <f t="shared" si="122"/>
        <v/>
      </c>
      <c r="CF46" s="132" t="str">
        <f t="shared" si="123"/>
        <v/>
      </c>
      <c r="CG46" s="132" t="str">
        <f t="shared" si="124"/>
        <v/>
      </c>
      <c r="CH46" s="132" t="str">
        <f t="shared" si="125"/>
        <v/>
      </c>
      <c r="CI46" s="132" t="str">
        <f t="shared" si="126"/>
        <v/>
      </c>
      <c r="CJ46" s="132" t="str">
        <f t="shared" si="127"/>
        <v/>
      </c>
      <c r="CK46" s="132">
        <f t="shared" si="128"/>
        <v>1</v>
      </c>
      <c r="CL46" s="132">
        <f t="shared" si="129"/>
        <v>1</v>
      </c>
      <c r="CM46" s="132">
        <f t="shared" si="130"/>
        <v>1</v>
      </c>
      <c r="CN46" s="132">
        <f t="shared" si="131"/>
        <v>1</v>
      </c>
      <c r="CO46" s="132" t="str">
        <f>IF(COUNTIF($D46:$AE46,"TQ4")&gt;=1,COUNTIF($D46:$AE46,"TQ4"),"")</f>
        <v/>
      </c>
      <c r="CP46" s="132">
        <f t="shared" si="133"/>
        <v>1</v>
      </c>
    </row>
    <row r="47" spans="1:94" s="98" customFormat="1" ht="15" customHeight="1" x14ac:dyDescent="0.25">
      <c r="A47" s="743"/>
      <c r="B47" s="99">
        <v>4</v>
      </c>
      <c r="C47" s="245" t="s">
        <v>350</v>
      </c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14" t="s">
        <v>425</v>
      </c>
      <c r="O47" s="505" t="s">
        <v>104</v>
      </c>
      <c r="P47" s="505" t="s">
        <v>102</v>
      </c>
      <c r="Q47" s="505"/>
      <c r="R47" s="505"/>
      <c r="S47" s="505"/>
      <c r="T47" s="505"/>
      <c r="U47" s="505"/>
      <c r="V47" s="505"/>
      <c r="W47" s="505"/>
      <c r="X47" s="505"/>
      <c r="Y47" s="505"/>
      <c r="Z47" s="505" t="s">
        <v>101</v>
      </c>
      <c r="AA47" s="514" t="s">
        <v>100</v>
      </c>
      <c r="AB47" s="505"/>
      <c r="AC47" s="505"/>
      <c r="AD47" s="505"/>
      <c r="AE47" s="519"/>
      <c r="AF47" s="132" t="str">
        <f t="shared" si="71"/>
        <v/>
      </c>
      <c r="AG47" s="132" t="str">
        <f t="shared" si="72"/>
        <v/>
      </c>
      <c r="AH47" s="132" t="str">
        <f t="shared" si="73"/>
        <v/>
      </c>
      <c r="AI47" s="132" t="str">
        <f t="shared" si="74"/>
        <v/>
      </c>
      <c r="AJ47" s="132" t="str">
        <f t="shared" si="75"/>
        <v/>
      </c>
      <c r="AK47" s="132" t="str">
        <f t="shared" si="76"/>
        <v/>
      </c>
      <c r="AL47" s="132" t="str">
        <f t="shared" si="77"/>
        <v/>
      </c>
      <c r="AM47" s="132" t="str">
        <f t="shared" si="78"/>
        <v/>
      </c>
      <c r="AN47" s="132" t="str">
        <f t="shared" si="79"/>
        <v/>
      </c>
      <c r="AO47" s="132" t="str">
        <f t="shared" si="80"/>
        <v/>
      </c>
      <c r="AP47" s="132" t="str">
        <f t="shared" si="81"/>
        <v/>
      </c>
      <c r="AQ47" s="132" t="str">
        <f t="shared" si="82"/>
        <v/>
      </c>
      <c r="AR47" s="132" t="str">
        <f t="shared" si="83"/>
        <v/>
      </c>
      <c r="AS47" s="132" t="str">
        <f t="shared" si="84"/>
        <v/>
      </c>
      <c r="AT47" s="132" t="str">
        <f t="shared" si="85"/>
        <v/>
      </c>
      <c r="AU47" s="132" t="str">
        <f t="shared" si="86"/>
        <v/>
      </c>
      <c r="AV47" s="132" t="str">
        <f t="shared" si="87"/>
        <v/>
      </c>
      <c r="AW47" s="132" t="str">
        <f t="shared" si="88"/>
        <v/>
      </c>
      <c r="AX47" s="132" t="str">
        <f t="shared" si="89"/>
        <v/>
      </c>
      <c r="AY47" s="132" t="str">
        <f t="shared" si="90"/>
        <v/>
      </c>
      <c r="AZ47" s="132" t="str">
        <f t="shared" si="91"/>
        <v/>
      </c>
      <c r="BA47" s="132" t="str">
        <f t="shared" si="92"/>
        <v/>
      </c>
      <c r="BB47" s="132" t="str">
        <f t="shared" si="93"/>
        <v/>
      </c>
      <c r="BC47" s="132" t="str">
        <f t="shared" si="94"/>
        <v/>
      </c>
      <c r="BD47" s="132" t="str">
        <f t="shared" si="95"/>
        <v/>
      </c>
      <c r="BE47" s="132" t="str">
        <f t="shared" si="96"/>
        <v/>
      </c>
      <c r="BF47" s="132" t="str">
        <f t="shared" si="97"/>
        <v/>
      </c>
      <c r="BG47" s="132" t="str">
        <f t="shared" si="98"/>
        <v/>
      </c>
      <c r="BH47" s="132" t="str">
        <f t="shared" si="99"/>
        <v/>
      </c>
      <c r="BI47" s="132" t="str">
        <f t="shared" si="100"/>
        <v/>
      </c>
      <c r="BJ47" s="132" t="str">
        <f t="shared" si="101"/>
        <v/>
      </c>
      <c r="BK47" s="132" t="str">
        <f t="shared" si="102"/>
        <v/>
      </c>
      <c r="BL47" s="132" t="str">
        <f t="shared" si="103"/>
        <v/>
      </c>
      <c r="BM47" s="132" t="str">
        <f t="shared" si="104"/>
        <v/>
      </c>
      <c r="BN47" s="132" t="str">
        <f t="shared" si="105"/>
        <v/>
      </c>
      <c r="BO47" s="132" t="str">
        <f t="shared" si="106"/>
        <v/>
      </c>
      <c r="BP47" s="132" t="str">
        <f t="shared" si="107"/>
        <v/>
      </c>
      <c r="BQ47" s="132" t="str">
        <f t="shared" si="108"/>
        <v/>
      </c>
      <c r="BR47" s="132" t="str">
        <f t="shared" si="109"/>
        <v/>
      </c>
      <c r="BS47" s="132" t="str">
        <f t="shared" si="110"/>
        <v/>
      </c>
      <c r="BT47" s="132" t="str">
        <f t="shared" si="111"/>
        <v/>
      </c>
      <c r="BU47" s="132" t="str">
        <f t="shared" si="112"/>
        <v/>
      </c>
      <c r="BV47" s="132" t="str">
        <f t="shared" si="113"/>
        <v/>
      </c>
      <c r="BW47" s="132" t="str">
        <f t="shared" si="114"/>
        <v/>
      </c>
      <c r="BX47" s="132" t="str">
        <f t="shared" si="115"/>
        <v/>
      </c>
      <c r="BY47" s="132" t="str">
        <f t="shared" si="116"/>
        <v/>
      </c>
      <c r="BZ47" s="132" t="str">
        <f t="shared" si="117"/>
        <v/>
      </c>
      <c r="CA47" s="132" t="str">
        <f t="shared" si="118"/>
        <v/>
      </c>
      <c r="CB47" s="132" t="str">
        <f t="shared" si="119"/>
        <v/>
      </c>
      <c r="CC47" s="132" t="str">
        <f t="shared" si="120"/>
        <v/>
      </c>
      <c r="CD47" s="132" t="str">
        <f t="shared" si="121"/>
        <v/>
      </c>
      <c r="CE47" s="132" t="str">
        <f t="shared" si="122"/>
        <v/>
      </c>
      <c r="CF47" s="132" t="str">
        <f t="shared" si="123"/>
        <v/>
      </c>
      <c r="CG47" s="132" t="str">
        <f t="shared" si="124"/>
        <v/>
      </c>
      <c r="CH47" s="132" t="str">
        <f t="shared" si="125"/>
        <v/>
      </c>
      <c r="CI47" s="132" t="str">
        <f t="shared" si="126"/>
        <v/>
      </c>
      <c r="CJ47" s="132" t="str">
        <f t="shared" si="127"/>
        <v/>
      </c>
      <c r="CK47" s="132">
        <f t="shared" si="128"/>
        <v>1</v>
      </c>
      <c r="CL47" s="132">
        <f t="shared" si="129"/>
        <v>1</v>
      </c>
      <c r="CM47" s="132">
        <f t="shared" si="130"/>
        <v>1</v>
      </c>
      <c r="CN47" s="132">
        <f t="shared" si="131"/>
        <v>1</v>
      </c>
      <c r="CO47" s="132" t="str">
        <f t="shared" si="132"/>
        <v/>
      </c>
      <c r="CP47" s="132">
        <f t="shared" si="133"/>
        <v>1</v>
      </c>
    </row>
    <row r="48" spans="1:94" ht="15" customHeight="1" x14ac:dyDescent="0.25">
      <c r="A48" s="744">
        <v>4</v>
      </c>
      <c r="B48" s="92">
        <v>1</v>
      </c>
      <c r="C48" s="240" t="s">
        <v>347</v>
      </c>
      <c r="D48" s="373" t="s">
        <v>103</v>
      </c>
      <c r="E48" s="371"/>
      <c r="F48" s="373"/>
      <c r="G48" s="373"/>
      <c r="H48" s="370" t="s">
        <v>104</v>
      </c>
      <c r="I48" s="292" t="s">
        <v>425</v>
      </c>
      <c r="J48" s="292"/>
      <c r="K48" s="292"/>
      <c r="L48" s="370"/>
      <c r="M48" s="370"/>
      <c r="N48" s="370"/>
      <c r="O48" s="370"/>
      <c r="P48" s="370"/>
      <c r="Q48" s="370"/>
      <c r="R48" s="370"/>
      <c r="S48" s="373"/>
      <c r="T48" s="370"/>
      <c r="U48" s="373"/>
      <c r="V48" s="336"/>
      <c r="W48" s="336"/>
      <c r="X48" s="336"/>
      <c r="Y48" s="328"/>
      <c r="Z48" s="378"/>
      <c r="AA48" s="335"/>
      <c r="AB48" s="331" t="s">
        <v>100</v>
      </c>
      <c r="AC48" s="336" t="s">
        <v>101</v>
      </c>
      <c r="AD48" s="336"/>
      <c r="AE48" s="379"/>
      <c r="AF48" s="63" t="str">
        <f t="shared" si="71"/>
        <v/>
      </c>
      <c r="AG48" s="63" t="str">
        <f t="shared" si="72"/>
        <v/>
      </c>
      <c r="AH48" s="63" t="str">
        <f t="shared" si="73"/>
        <v/>
      </c>
      <c r="AI48" s="63" t="str">
        <f t="shared" si="74"/>
        <v/>
      </c>
      <c r="AJ48" s="63" t="str">
        <f t="shared" si="75"/>
        <v/>
      </c>
      <c r="AK48" s="63" t="str">
        <f t="shared" si="76"/>
        <v/>
      </c>
      <c r="AL48" s="63" t="str">
        <f t="shared" si="77"/>
        <v/>
      </c>
      <c r="AM48" s="63" t="str">
        <f t="shared" si="78"/>
        <v/>
      </c>
      <c r="AN48" s="63" t="str">
        <f t="shared" si="79"/>
        <v/>
      </c>
      <c r="AO48" s="63" t="str">
        <f t="shared" si="80"/>
        <v/>
      </c>
      <c r="AP48" s="63" t="str">
        <f t="shared" si="81"/>
        <v/>
      </c>
      <c r="AQ48" s="63" t="str">
        <f t="shared" si="82"/>
        <v/>
      </c>
      <c r="AR48" s="63" t="str">
        <f t="shared" si="83"/>
        <v/>
      </c>
      <c r="AS48" s="63" t="str">
        <f t="shared" si="84"/>
        <v/>
      </c>
      <c r="AT48" s="63" t="str">
        <f t="shared" si="85"/>
        <v/>
      </c>
      <c r="AU48" s="63" t="str">
        <f t="shared" si="86"/>
        <v/>
      </c>
      <c r="AV48" s="63" t="str">
        <f t="shared" si="87"/>
        <v/>
      </c>
      <c r="AW48" s="63" t="str">
        <f t="shared" si="88"/>
        <v/>
      </c>
      <c r="AX48" s="63" t="str">
        <f t="shared" si="89"/>
        <v/>
      </c>
      <c r="AY48" s="63" t="str">
        <f>IF(COUNTIF($D48:$AE48,"LC7")&gt;=1,COUNTIF($D48:$AE48,"LC7"),"")</f>
        <v/>
      </c>
      <c r="AZ48" s="63" t="str">
        <f t="shared" si="91"/>
        <v/>
      </c>
      <c r="BA48" s="63" t="str">
        <f t="shared" si="92"/>
        <v/>
      </c>
      <c r="BB48" s="63" t="str">
        <f t="shared" si="93"/>
        <v/>
      </c>
      <c r="BC48" s="63" t="str">
        <f t="shared" si="94"/>
        <v/>
      </c>
      <c r="BD48" s="63" t="str">
        <f t="shared" si="95"/>
        <v/>
      </c>
      <c r="BE48" s="63" t="str">
        <f t="shared" si="96"/>
        <v/>
      </c>
      <c r="BF48" s="63" t="str">
        <f t="shared" si="97"/>
        <v/>
      </c>
      <c r="BG48" s="63" t="str">
        <f t="shared" si="98"/>
        <v/>
      </c>
      <c r="BH48" s="63" t="str">
        <f t="shared" si="99"/>
        <v/>
      </c>
      <c r="BI48" s="63" t="str">
        <f t="shared" si="100"/>
        <v/>
      </c>
      <c r="BJ48" s="63" t="str">
        <f t="shared" si="101"/>
        <v/>
      </c>
      <c r="BK48" s="63" t="str">
        <f t="shared" si="102"/>
        <v/>
      </c>
      <c r="BL48" s="63" t="str">
        <f t="shared" si="103"/>
        <v/>
      </c>
      <c r="BM48" s="63" t="str">
        <f t="shared" si="104"/>
        <v/>
      </c>
      <c r="BN48" s="63" t="str">
        <f t="shared" si="105"/>
        <v/>
      </c>
      <c r="BO48" s="63" t="str">
        <f t="shared" si="106"/>
        <v/>
      </c>
      <c r="BP48" s="63" t="str">
        <f t="shared" si="107"/>
        <v/>
      </c>
      <c r="BQ48" s="63" t="str">
        <f t="shared" si="108"/>
        <v/>
      </c>
      <c r="BR48" s="63" t="str">
        <f t="shared" si="109"/>
        <v/>
      </c>
      <c r="BS48" s="63" t="str">
        <f t="shared" si="110"/>
        <v/>
      </c>
      <c r="BT48" s="63" t="str">
        <f t="shared" si="111"/>
        <v/>
      </c>
      <c r="BU48" s="63" t="str">
        <f t="shared" si="112"/>
        <v/>
      </c>
      <c r="BV48" s="63" t="str">
        <f t="shared" si="113"/>
        <v/>
      </c>
      <c r="BW48" s="63" t="str">
        <f t="shared" si="114"/>
        <v/>
      </c>
      <c r="BX48" s="63" t="str">
        <f t="shared" si="115"/>
        <v/>
      </c>
      <c r="BY48" s="63" t="str">
        <f t="shared" si="116"/>
        <v/>
      </c>
      <c r="BZ48" s="63" t="s">
        <v>473</v>
      </c>
      <c r="CA48" s="63" t="str">
        <f t="shared" si="118"/>
        <v/>
      </c>
      <c r="CB48" s="63" t="str">
        <f t="shared" si="119"/>
        <v/>
      </c>
      <c r="CC48" s="63" t="str">
        <f t="shared" si="120"/>
        <v/>
      </c>
      <c r="CD48" s="63" t="str">
        <f t="shared" si="121"/>
        <v/>
      </c>
      <c r="CE48" s="63" t="str">
        <f t="shared" si="122"/>
        <v/>
      </c>
      <c r="CF48" s="63" t="str">
        <f t="shared" si="123"/>
        <v/>
      </c>
      <c r="CG48" s="63" t="str">
        <f>IF(COUNTIF($D48:$AE48,"A4")&gt;=1,COUNTIF($D48:$AE48,"A4"),"")</f>
        <v/>
      </c>
      <c r="CH48" s="63" t="str">
        <f>IF(COUNTIF($D48:$AE48,"A5")&gt;=1,COUNTIF($D48:$AE48,"A5"),"")</f>
        <v/>
      </c>
      <c r="CI48" s="63" t="str">
        <f t="shared" si="126"/>
        <v/>
      </c>
      <c r="CJ48" s="63" t="str">
        <f t="shared" si="127"/>
        <v/>
      </c>
      <c r="CK48" s="63">
        <f t="shared" si="128"/>
        <v>1</v>
      </c>
      <c r="CL48" s="63">
        <f t="shared" si="129"/>
        <v>1</v>
      </c>
      <c r="CM48" s="63">
        <f t="shared" si="130"/>
        <v>1</v>
      </c>
      <c r="CN48" s="63" t="str">
        <f t="shared" si="131"/>
        <v/>
      </c>
      <c r="CO48" s="63">
        <f t="shared" si="132"/>
        <v>1</v>
      </c>
      <c r="CP48" s="63">
        <f t="shared" si="133"/>
        <v>1</v>
      </c>
    </row>
    <row r="49" spans="1:94" ht="15" customHeight="1" x14ac:dyDescent="0.25">
      <c r="A49" s="744"/>
      <c r="B49" s="93">
        <v>2</v>
      </c>
      <c r="C49" s="241" t="s">
        <v>348</v>
      </c>
      <c r="D49" s="371"/>
      <c r="E49" s="371" t="s">
        <v>103</v>
      </c>
      <c r="F49" s="371"/>
      <c r="G49" s="371"/>
      <c r="H49" s="296" t="s">
        <v>425</v>
      </c>
      <c r="I49" s="301" t="s">
        <v>104</v>
      </c>
      <c r="J49" s="371"/>
      <c r="K49" s="371"/>
      <c r="L49" s="371"/>
      <c r="M49" s="371"/>
      <c r="N49" s="371"/>
      <c r="O49" s="301"/>
      <c r="P49" s="296"/>
      <c r="Q49" s="371"/>
      <c r="R49" s="371"/>
      <c r="S49" s="301"/>
      <c r="T49" s="371"/>
      <c r="U49" s="371"/>
      <c r="V49" s="328"/>
      <c r="W49" s="328"/>
      <c r="X49" s="328"/>
      <c r="Y49" s="328"/>
      <c r="Z49" s="337"/>
      <c r="AA49" s="328"/>
      <c r="AB49" s="337" t="s">
        <v>101</v>
      </c>
      <c r="AC49" s="329" t="s">
        <v>100</v>
      </c>
      <c r="AD49" s="328"/>
      <c r="AE49" s="375"/>
      <c r="AF49" s="63" t="str">
        <f t="shared" si="71"/>
        <v/>
      </c>
      <c r="AG49" s="63" t="str">
        <f t="shared" si="72"/>
        <v/>
      </c>
      <c r="AH49" s="63" t="str">
        <f t="shared" si="73"/>
        <v/>
      </c>
      <c r="AI49" s="63" t="str">
        <f t="shared" si="74"/>
        <v/>
      </c>
      <c r="AJ49" s="63" t="str">
        <f t="shared" si="75"/>
        <v/>
      </c>
      <c r="AK49" s="63" t="str">
        <f t="shared" si="76"/>
        <v/>
      </c>
      <c r="AL49" s="63" t="str">
        <f t="shared" si="77"/>
        <v/>
      </c>
      <c r="AM49" s="63" t="str">
        <f t="shared" si="78"/>
        <v/>
      </c>
      <c r="AN49" s="63" t="str">
        <f t="shared" si="79"/>
        <v/>
      </c>
      <c r="AO49" s="63" t="str">
        <f t="shared" si="80"/>
        <v/>
      </c>
      <c r="AP49" s="63" t="str">
        <f t="shared" si="81"/>
        <v/>
      </c>
      <c r="AQ49" s="63" t="str">
        <f t="shared" si="82"/>
        <v/>
      </c>
      <c r="AR49" s="63" t="str">
        <f t="shared" si="83"/>
        <v/>
      </c>
      <c r="AS49" s="63" t="str">
        <f t="shared" si="84"/>
        <v/>
      </c>
      <c r="AT49" s="63" t="str">
        <f t="shared" si="85"/>
        <v/>
      </c>
      <c r="AU49" s="63" t="str">
        <f t="shared" si="86"/>
        <v/>
      </c>
      <c r="AV49" s="63" t="str">
        <f t="shared" si="87"/>
        <v/>
      </c>
      <c r="AW49" s="63" t="str">
        <f t="shared" si="88"/>
        <v/>
      </c>
      <c r="AX49" s="63" t="str">
        <f t="shared" si="89"/>
        <v/>
      </c>
      <c r="AY49" s="63" t="str">
        <f>IF(COUNTIF($D49:$AE49,"LC7")&gt;=1,COUNTIF($D49:$AE49,"LC7"),"")</f>
        <v/>
      </c>
      <c r="AZ49" s="63" t="str">
        <f t="shared" si="91"/>
        <v/>
      </c>
      <c r="BA49" s="63" t="str">
        <f t="shared" si="92"/>
        <v/>
      </c>
      <c r="BB49" s="63" t="str">
        <f t="shared" si="93"/>
        <v/>
      </c>
      <c r="BC49" s="63" t="str">
        <f t="shared" si="94"/>
        <v/>
      </c>
      <c r="BD49" s="63" t="str">
        <f t="shared" si="95"/>
        <v/>
      </c>
      <c r="BE49" s="63" t="str">
        <f t="shared" si="96"/>
        <v/>
      </c>
      <c r="BF49" s="63" t="str">
        <f t="shared" si="97"/>
        <v/>
      </c>
      <c r="BG49" s="63" t="str">
        <f t="shared" si="98"/>
        <v/>
      </c>
      <c r="BH49" s="63" t="str">
        <f t="shared" si="99"/>
        <v/>
      </c>
      <c r="BI49" s="63" t="str">
        <f t="shared" si="100"/>
        <v/>
      </c>
      <c r="BJ49" s="63" t="str">
        <f t="shared" si="101"/>
        <v/>
      </c>
      <c r="BK49" s="63" t="str">
        <f t="shared" si="102"/>
        <v/>
      </c>
      <c r="BL49" s="63" t="str">
        <f t="shared" si="103"/>
        <v/>
      </c>
      <c r="BM49" s="63" t="str">
        <f t="shared" si="104"/>
        <v/>
      </c>
      <c r="BN49" s="63" t="str">
        <f t="shared" si="105"/>
        <v/>
      </c>
      <c r="BO49" s="63" t="str">
        <f t="shared" si="106"/>
        <v/>
      </c>
      <c r="BP49" s="63" t="str">
        <f t="shared" si="107"/>
        <v/>
      </c>
      <c r="BQ49" s="63" t="str">
        <f t="shared" si="108"/>
        <v/>
      </c>
      <c r="BR49" s="63" t="str">
        <f t="shared" si="109"/>
        <v/>
      </c>
      <c r="BS49" s="63" t="str">
        <f t="shared" si="110"/>
        <v/>
      </c>
      <c r="BT49" s="63" t="str">
        <f t="shared" si="111"/>
        <v/>
      </c>
      <c r="BU49" s="63" t="str">
        <f t="shared" si="112"/>
        <v/>
      </c>
      <c r="BV49" s="63" t="str">
        <f t="shared" si="113"/>
        <v/>
      </c>
      <c r="BW49" s="63" t="str">
        <f t="shared" si="114"/>
        <v/>
      </c>
      <c r="BX49" s="63" t="str">
        <f t="shared" si="115"/>
        <v/>
      </c>
      <c r="BY49" s="63" t="str">
        <f t="shared" si="116"/>
        <v/>
      </c>
      <c r="BZ49" s="63" t="str">
        <f t="shared" si="117"/>
        <v/>
      </c>
      <c r="CA49" s="63" t="str">
        <f t="shared" si="118"/>
        <v/>
      </c>
      <c r="CB49" s="63" t="str">
        <f t="shared" si="119"/>
        <v/>
      </c>
      <c r="CC49" s="63" t="str">
        <f t="shared" si="120"/>
        <v/>
      </c>
      <c r="CD49" s="63" t="str">
        <f t="shared" si="121"/>
        <v/>
      </c>
      <c r="CE49" s="63" t="str">
        <f t="shared" si="122"/>
        <v/>
      </c>
      <c r="CF49" s="63" t="str">
        <f t="shared" si="123"/>
        <v/>
      </c>
      <c r="CG49" s="63" t="str">
        <f t="shared" si="124"/>
        <v/>
      </c>
      <c r="CH49" s="63" t="str">
        <f>IF(COUNTIF($D49:$AE49,"A5")&gt;=1,COUNTIF($D49:$AE49,"A5"),"")</f>
        <v/>
      </c>
      <c r="CI49" s="63" t="str">
        <f t="shared" si="126"/>
        <v/>
      </c>
      <c r="CJ49" s="63" t="str">
        <f t="shared" si="127"/>
        <v/>
      </c>
      <c r="CK49" s="63">
        <f t="shared" si="128"/>
        <v>1</v>
      </c>
      <c r="CL49" s="63">
        <f t="shared" si="129"/>
        <v>1</v>
      </c>
      <c r="CM49" s="63">
        <f t="shared" si="130"/>
        <v>1</v>
      </c>
      <c r="CN49" s="63" t="str">
        <f t="shared" si="131"/>
        <v/>
      </c>
      <c r="CO49" s="63">
        <f t="shared" si="132"/>
        <v>1</v>
      </c>
      <c r="CP49" s="63">
        <f t="shared" si="133"/>
        <v>1</v>
      </c>
    </row>
    <row r="50" spans="1:94" ht="15" customHeight="1" x14ac:dyDescent="0.25">
      <c r="A50" s="744"/>
      <c r="B50" s="93">
        <v>3</v>
      </c>
      <c r="C50" s="241" t="s">
        <v>349</v>
      </c>
      <c r="D50" s="301"/>
      <c r="E50" s="301"/>
      <c r="F50" s="371" t="s">
        <v>103</v>
      </c>
      <c r="G50" s="301"/>
      <c r="H50" s="371"/>
      <c r="I50" s="373"/>
      <c r="J50" s="301" t="s">
        <v>104</v>
      </c>
      <c r="K50" s="296" t="s">
        <v>425</v>
      </c>
      <c r="L50" s="371"/>
      <c r="M50" s="371"/>
      <c r="N50" s="301"/>
      <c r="O50" s="371"/>
      <c r="P50" s="371"/>
      <c r="Q50" s="296"/>
      <c r="R50" s="371"/>
      <c r="S50" s="371"/>
      <c r="T50" s="371"/>
      <c r="U50" s="371"/>
      <c r="V50" s="328"/>
      <c r="W50" s="328"/>
      <c r="X50" s="328"/>
      <c r="Y50" s="328"/>
      <c r="Z50" s="328"/>
      <c r="AA50" s="328"/>
      <c r="AB50" s="328"/>
      <c r="AC50" s="337"/>
      <c r="AD50" s="332" t="s">
        <v>100</v>
      </c>
      <c r="AE50" s="380" t="s">
        <v>101</v>
      </c>
      <c r="AF50" s="63" t="str">
        <f t="shared" si="71"/>
        <v/>
      </c>
      <c r="AG50" s="63" t="str">
        <f t="shared" si="72"/>
        <v/>
      </c>
      <c r="AH50" s="63" t="str">
        <f t="shared" si="73"/>
        <v/>
      </c>
      <c r="AI50" s="63" t="str">
        <f t="shared" si="74"/>
        <v/>
      </c>
      <c r="AJ50" s="63" t="str">
        <f t="shared" si="75"/>
        <v/>
      </c>
      <c r="AK50" s="63" t="str">
        <f t="shared" si="76"/>
        <v/>
      </c>
      <c r="AL50" s="63" t="str">
        <f t="shared" si="77"/>
        <v/>
      </c>
      <c r="AM50" s="63" t="str">
        <f t="shared" si="78"/>
        <v/>
      </c>
      <c r="AN50" s="63" t="str">
        <f t="shared" si="79"/>
        <v/>
      </c>
      <c r="AO50" s="63" t="str">
        <f t="shared" si="80"/>
        <v/>
      </c>
      <c r="AP50" s="63" t="str">
        <f t="shared" si="81"/>
        <v/>
      </c>
      <c r="AQ50" s="63" t="str">
        <f t="shared" si="82"/>
        <v/>
      </c>
      <c r="AR50" s="63" t="str">
        <f t="shared" si="83"/>
        <v/>
      </c>
      <c r="AS50" s="63" t="str">
        <f t="shared" si="84"/>
        <v/>
      </c>
      <c r="AT50" s="63" t="str">
        <f t="shared" si="85"/>
        <v/>
      </c>
      <c r="AU50" s="63" t="str">
        <f t="shared" si="86"/>
        <v/>
      </c>
      <c r="AV50" s="63" t="str">
        <f t="shared" si="87"/>
        <v/>
      </c>
      <c r="AW50" s="63" t="str">
        <f t="shared" si="88"/>
        <v/>
      </c>
      <c r="AX50" s="63" t="str">
        <f t="shared" si="89"/>
        <v/>
      </c>
      <c r="AY50" s="63" t="str">
        <f t="shared" si="90"/>
        <v/>
      </c>
      <c r="AZ50" s="63" t="str">
        <f t="shared" si="91"/>
        <v/>
      </c>
      <c r="BA50" s="63" t="str">
        <f t="shared" si="92"/>
        <v/>
      </c>
      <c r="BB50" s="63" t="str">
        <f t="shared" si="93"/>
        <v/>
      </c>
      <c r="BC50" s="63" t="str">
        <f t="shared" si="94"/>
        <v/>
      </c>
      <c r="BD50" s="63" t="str">
        <f t="shared" si="95"/>
        <v/>
      </c>
      <c r="BE50" s="63" t="str">
        <f t="shared" si="96"/>
        <v/>
      </c>
      <c r="BF50" s="63" t="str">
        <f t="shared" si="97"/>
        <v/>
      </c>
      <c r="BG50" s="63" t="str">
        <f t="shared" si="98"/>
        <v/>
      </c>
      <c r="BH50" s="63" t="str">
        <f t="shared" si="99"/>
        <v/>
      </c>
      <c r="BI50" s="63" t="str">
        <f t="shared" si="100"/>
        <v/>
      </c>
      <c r="BJ50" s="63" t="str">
        <f t="shared" si="101"/>
        <v/>
      </c>
      <c r="BK50" s="63" t="str">
        <f t="shared" si="102"/>
        <v/>
      </c>
      <c r="BL50" s="63" t="str">
        <f t="shared" si="103"/>
        <v/>
      </c>
      <c r="BM50" s="63" t="str">
        <f t="shared" si="104"/>
        <v/>
      </c>
      <c r="BN50" s="63" t="str">
        <f t="shared" si="105"/>
        <v/>
      </c>
      <c r="BO50" s="63" t="str">
        <f t="shared" si="106"/>
        <v/>
      </c>
      <c r="BP50" s="63" t="str">
        <f t="shared" si="107"/>
        <v/>
      </c>
      <c r="BQ50" s="63" t="str">
        <f t="shared" si="108"/>
        <v/>
      </c>
      <c r="BR50" s="63" t="str">
        <f t="shared" si="109"/>
        <v/>
      </c>
      <c r="BS50" s="63" t="str">
        <f t="shared" si="110"/>
        <v/>
      </c>
      <c r="BT50" s="63" t="str">
        <f t="shared" si="111"/>
        <v/>
      </c>
      <c r="BU50" s="63" t="str">
        <f t="shared" si="112"/>
        <v/>
      </c>
      <c r="BV50" s="63" t="str">
        <f t="shared" si="113"/>
        <v/>
      </c>
      <c r="BW50" s="63" t="str">
        <f t="shared" si="114"/>
        <v/>
      </c>
      <c r="BX50" s="63" t="str">
        <f t="shared" si="115"/>
        <v/>
      </c>
      <c r="BY50" s="63" t="str">
        <f t="shared" si="116"/>
        <v/>
      </c>
      <c r="BZ50" s="63" t="str">
        <f t="shared" si="117"/>
        <v/>
      </c>
      <c r="CA50" s="63" t="str">
        <f t="shared" si="118"/>
        <v/>
      </c>
      <c r="CB50" s="63" t="str">
        <f t="shared" si="119"/>
        <v/>
      </c>
      <c r="CC50" s="63" t="str">
        <f t="shared" si="120"/>
        <v/>
      </c>
      <c r="CD50" s="63" t="str">
        <f t="shared" si="121"/>
        <v/>
      </c>
      <c r="CE50" s="63" t="str">
        <f t="shared" si="122"/>
        <v/>
      </c>
      <c r="CF50" s="63" t="str">
        <f t="shared" si="123"/>
        <v/>
      </c>
      <c r="CG50" s="63" t="str">
        <f t="shared" si="124"/>
        <v/>
      </c>
      <c r="CH50" s="63" t="str">
        <f t="shared" si="125"/>
        <v/>
      </c>
      <c r="CI50" s="63" t="str">
        <f t="shared" si="126"/>
        <v/>
      </c>
      <c r="CJ50" s="63" t="str">
        <f t="shared" si="127"/>
        <v/>
      </c>
      <c r="CK50" s="63">
        <f t="shared" si="128"/>
        <v>1</v>
      </c>
      <c r="CL50" s="63">
        <f t="shared" si="129"/>
        <v>1</v>
      </c>
      <c r="CM50" s="63">
        <f t="shared" si="130"/>
        <v>1</v>
      </c>
      <c r="CN50" s="63" t="str">
        <f t="shared" si="131"/>
        <v/>
      </c>
      <c r="CO50" s="63">
        <f t="shared" si="132"/>
        <v>1</v>
      </c>
      <c r="CP50" s="63">
        <f t="shared" si="133"/>
        <v>1</v>
      </c>
    </row>
    <row r="51" spans="1:94" ht="15" customHeight="1" x14ac:dyDescent="0.25">
      <c r="A51" s="744"/>
      <c r="B51" s="93">
        <v>4</v>
      </c>
      <c r="C51" s="241" t="s">
        <v>350</v>
      </c>
      <c r="D51" s="372"/>
      <c r="E51" s="372"/>
      <c r="F51" s="372"/>
      <c r="G51" s="372" t="s">
        <v>103</v>
      </c>
      <c r="H51" s="372"/>
      <c r="I51" s="372"/>
      <c r="J51" s="383" t="s">
        <v>425</v>
      </c>
      <c r="K51" s="372" t="s">
        <v>104</v>
      </c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30"/>
      <c r="W51" s="330"/>
      <c r="X51" s="330"/>
      <c r="Y51" s="330"/>
      <c r="Z51" s="381"/>
      <c r="AA51" s="330"/>
      <c r="AB51" s="330"/>
      <c r="AC51" s="381"/>
      <c r="AD51" s="381" t="s">
        <v>101</v>
      </c>
      <c r="AE51" s="382" t="s">
        <v>100</v>
      </c>
      <c r="AF51" s="63" t="str">
        <f t="shared" si="71"/>
        <v/>
      </c>
      <c r="AG51" s="63" t="str">
        <f t="shared" si="72"/>
        <v/>
      </c>
      <c r="AH51" s="63" t="str">
        <f t="shared" si="73"/>
        <v/>
      </c>
      <c r="AI51" s="63" t="str">
        <f t="shared" si="74"/>
        <v/>
      </c>
      <c r="AJ51" s="63" t="str">
        <f t="shared" si="75"/>
        <v/>
      </c>
      <c r="AK51" s="63" t="str">
        <f t="shared" si="76"/>
        <v/>
      </c>
      <c r="AL51" s="63" t="str">
        <f t="shared" si="77"/>
        <v/>
      </c>
      <c r="AM51" s="63" t="str">
        <f t="shared" si="78"/>
        <v/>
      </c>
      <c r="AN51" s="63" t="str">
        <f t="shared" si="79"/>
        <v/>
      </c>
      <c r="AO51" s="63" t="str">
        <f t="shared" si="80"/>
        <v/>
      </c>
      <c r="AP51" s="63" t="str">
        <f t="shared" si="81"/>
        <v/>
      </c>
      <c r="AQ51" s="63" t="str">
        <f t="shared" si="82"/>
        <v/>
      </c>
      <c r="AR51" s="63" t="str">
        <f t="shared" si="83"/>
        <v/>
      </c>
      <c r="AS51" s="63" t="str">
        <f t="shared" si="84"/>
        <v/>
      </c>
      <c r="AT51" s="63" t="str">
        <f t="shared" si="85"/>
        <v/>
      </c>
      <c r="AU51" s="63" t="str">
        <f t="shared" si="86"/>
        <v/>
      </c>
      <c r="AV51" s="63" t="str">
        <f t="shared" si="87"/>
        <v/>
      </c>
      <c r="AW51" s="63" t="str">
        <f t="shared" si="88"/>
        <v/>
      </c>
      <c r="AX51" s="63" t="str">
        <f t="shared" si="89"/>
        <v/>
      </c>
      <c r="AY51" s="63" t="str">
        <f t="shared" si="90"/>
        <v/>
      </c>
      <c r="AZ51" s="63" t="str">
        <f t="shared" si="91"/>
        <v/>
      </c>
      <c r="BA51" s="63" t="str">
        <f t="shared" si="92"/>
        <v/>
      </c>
      <c r="BB51" s="63" t="str">
        <f t="shared" si="93"/>
        <v/>
      </c>
      <c r="BC51" s="63" t="str">
        <f t="shared" si="94"/>
        <v/>
      </c>
      <c r="BD51" s="63" t="str">
        <f t="shared" si="95"/>
        <v/>
      </c>
      <c r="BE51" s="63" t="str">
        <f t="shared" si="96"/>
        <v/>
      </c>
      <c r="BF51" s="63" t="str">
        <f t="shared" si="97"/>
        <v/>
      </c>
      <c r="BG51" s="63" t="str">
        <f t="shared" si="98"/>
        <v/>
      </c>
      <c r="BH51" s="63" t="str">
        <f t="shared" si="99"/>
        <v/>
      </c>
      <c r="BI51" s="63" t="str">
        <f t="shared" si="100"/>
        <v/>
      </c>
      <c r="BJ51" s="63" t="str">
        <f t="shared" si="101"/>
        <v/>
      </c>
      <c r="BK51" s="63" t="str">
        <f t="shared" si="102"/>
        <v/>
      </c>
      <c r="BL51" s="63" t="str">
        <f t="shared" si="103"/>
        <v/>
      </c>
      <c r="BM51" s="63" t="str">
        <f t="shared" si="104"/>
        <v/>
      </c>
      <c r="BN51" s="63" t="str">
        <f t="shared" si="105"/>
        <v/>
      </c>
      <c r="BO51" s="63" t="str">
        <f t="shared" si="106"/>
        <v/>
      </c>
      <c r="BP51" s="63" t="str">
        <f t="shared" si="107"/>
        <v/>
      </c>
      <c r="BQ51" s="63" t="str">
        <f t="shared" si="108"/>
        <v/>
      </c>
      <c r="BR51" s="63" t="str">
        <f t="shared" si="109"/>
        <v/>
      </c>
      <c r="BS51" s="63" t="str">
        <f t="shared" si="110"/>
        <v/>
      </c>
      <c r="BT51" s="63" t="str">
        <f t="shared" si="111"/>
        <v/>
      </c>
      <c r="BU51" s="63" t="str">
        <f t="shared" si="112"/>
        <v/>
      </c>
      <c r="BV51" s="63" t="str">
        <f t="shared" si="113"/>
        <v/>
      </c>
      <c r="BW51" s="63" t="str">
        <f t="shared" si="114"/>
        <v/>
      </c>
      <c r="BX51" s="63" t="str">
        <f t="shared" si="115"/>
        <v/>
      </c>
      <c r="BY51" s="63" t="str">
        <f t="shared" si="116"/>
        <v/>
      </c>
      <c r="BZ51" s="63" t="str">
        <f t="shared" si="117"/>
        <v/>
      </c>
      <c r="CA51" s="63" t="str">
        <f t="shared" si="118"/>
        <v/>
      </c>
      <c r="CB51" s="63" t="str">
        <f t="shared" si="119"/>
        <v/>
      </c>
      <c r="CC51" s="63" t="str">
        <f t="shared" si="120"/>
        <v/>
      </c>
      <c r="CD51" s="63" t="str">
        <f t="shared" si="121"/>
        <v/>
      </c>
      <c r="CE51" s="63" t="str">
        <f t="shared" si="122"/>
        <v/>
      </c>
      <c r="CF51" s="63" t="str">
        <f t="shared" si="123"/>
        <v/>
      </c>
      <c r="CG51" s="63" t="str">
        <f t="shared" si="124"/>
        <v/>
      </c>
      <c r="CH51" s="63" t="str">
        <f t="shared" si="125"/>
        <v/>
      </c>
      <c r="CI51" s="63" t="str">
        <f t="shared" si="126"/>
        <v/>
      </c>
      <c r="CJ51" s="63" t="str">
        <f t="shared" si="127"/>
        <v/>
      </c>
      <c r="CK51" s="63">
        <f t="shared" si="128"/>
        <v>1</v>
      </c>
      <c r="CL51" s="63">
        <f t="shared" si="129"/>
        <v>1</v>
      </c>
      <c r="CM51" s="63">
        <f t="shared" si="130"/>
        <v>1</v>
      </c>
      <c r="CN51" s="63" t="str">
        <f t="shared" si="131"/>
        <v/>
      </c>
      <c r="CO51" s="63">
        <f t="shared" si="132"/>
        <v>1</v>
      </c>
      <c r="CP51" s="63">
        <f t="shared" si="133"/>
        <v>1</v>
      </c>
    </row>
    <row r="52" spans="1:94" s="98" customFormat="1" ht="15" customHeight="1" x14ac:dyDescent="0.25">
      <c r="A52" s="743">
        <v>5</v>
      </c>
      <c r="B52" s="97">
        <v>1</v>
      </c>
      <c r="C52" s="244" t="s">
        <v>347</v>
      </c>
      <c r="D52" s="503"/>
      <c r="E52" s="503"/>
      <c r="F52" s="504"/>
      <c r="G52" s="504"/>
      <c r="H52" s="503"/>
      <c r="I52" s="503"/>
      <c r="J52" s="503"/>
      <c r="K52" s="503"/>
      <c r="L52" s="503" t="s">
        <v>104</v>
      </c>
      <c r="M52" s="503"/>
      <c r="N52" s="504"/>
      <c r="O52" s="503"/>
      <c r="P52" s="505"/>
      <c r="Q52" s="503"/>
      <c r="R52" s="506"/>
      <c r="S52" s="503" t="s">
        <v>102</v>
      </c>
      <c r="T52" s="504"/>
      <c r="U52" s="504"/>
      <c r="V52" s="504" t="s">
        <v>103</v>
      </c>
      <c r="W52" s="507" t="s">
        <v>425</v>
      </c>
      <c r="X52" s="508"/>
      <c r="Y52" s="508" t="s">
        <v>101</v>
      </c>
      <c r="Z52" s="508"/>
      <c r="AA52" s="508"/>
      <c r="AB52" s="508"/>
      <c r="AC52" s="508"/>
      <c r="AD52" s="508"/>
      <c r="AE52" s="509"/>
      <c r="AF52" s="132" t="str">
        <f t="shared" si="71"/>
        <v/>
      </c>
      <c r="AG52" s="132" t="str">
        <f t="shared" si="72"/>
        <v/>
      </c>
      <c r="AH52" s="132" t="str">
        <f t="shared" si="73"/>
        <v/>
      </c>
      <c r="AI52" s="132" t="str">
        <f t="shared" si="74"/>
        <v/>
      </c>
      <c r="AJ52" s="132" t="str">
        <f t="shared" si="75"/>
        <v/>
      </c>
      <c r="AK52" s="132" t="str">
        <f t="shared" si="76"/>
        <v/>
      </c>
      <c r="AL52" s="132" t="str">
        <f t="shared" si="77"/>
        <v/>
      </c>
      <c r="AM52" s="132" t="str">
        <f t="shared" si="78"/>
        <v/>
      </c>
      <c r="AN52" s="132" t="str">
        <f t="shared" si="79"/>
        <v/>
      </c>
      <c r="AO52" s="132" t="str">
        <f t="shared" si="80"/>
        <v/>
      </c>
      <c r="AP52" s="132" t="str">
        <f t="shared" si="81"/>
        <v/>
      </c>
      <c r="AQ52" s="132" t="str">
        <f t="shared" si="82"/>
        <v/>
      </c>
      <c r="AR52" s="132" t="str">
        <f t="shared" si="83"/>
        <v/>
      </c>
      <c r="AS52" s="132" t="str">
        <f t="shared" si="84"/>
        <v/>
      </c>
      <c r="AT52" s="132" t="str">
        <f t="shared" si="85"/>
        <v/>
      </c>
      <c r="AU52" s="132" t="str">
        <f t="shared" si="86"/>
        <v/>
      </c>
      <c r="AV52" s="132" t="str">
        <f t="shared" si="87"/>
        <v/>
      </c>
      <c r="AW52" s="132" t="str">
        <f t="shared" si="88"/>
        <v/>
      </c>
      <c r="AX52" s="132" t="str">
        <f t="shared" si="89"/>
        <v/>
      </c>
      <c r="AY52" s="132" t="str">
        <f t="shared" si="90"/>
        <v/>
      </c>
      <c r="AZ52" s="132" t="str">
        <f t="shared" si="91"/>
        <v/>
      </c>
      <c r="BA52" s="132" t="str">
        <f t="shared" si="92"/>
        <v/>
      </c>
      <c r="BB52" s="132" t="str">
        <f t="shared" si="93"/>
        <v/>
      </c>
      <c r="BC52" s="132" t="str">
        <f t="shared" si="94"/>
        <v/>
      </c>
      <c r="BD52" s="132" t="str">
        <f t="shared" si="95"/>
        <v/>
      </c>
      <c r="BE52" s="132" t="str">
        <f t="shared" si="96"/>
        <v/>
      </c>
      <c r="BF52" s="132" t="str">
        <f t="shared" si="97"/>
        <v/>
      </c>
      <c r="BG52" s="132" t="str">
        <f t="shared" si="98"/>
        <v/>
      </c>
      <c r="BH52" s="132" t="str">
        <f t="shared" si="99"/>
        <v/>
      </c>
      <c r="BI52" s="132" t="str">
        <f t="shared" si="100"/>
        <v/>
      </c>
      <c r="BJ52" s="132" t="str">
        <f t="shared" si="101"/>
        <v/>
      </c>
      <c r="BK52" s="132" t="str">
        <f t="shared" si="102"/>
        <v/>
      </c>
      <c r="BL52" s="132" t="str">
        <f t="shared" si="103"/>
        <v/>
      </c>
      <c r="BM52" s="132" t="str">
        <f t="shared" si="104"/>
        <v/>
      </c>
      <c r="BN52" s="132" t="str">
        <f t="shared" si="105"/>
        <v/>
      </c>
      <c r="BO52" s="132" t="str">
        <f t="shared" si="106"/>
        <v/>
      </c>
      <c r="BP52" s="132" t="str">
        <f t="shared" si="107"/>
        <v/>
      </c>
      <c r="BQ52" s="132" t="str">
        <f t="shared" si="108"/>
        <v/>
      </c>
      <c r="BR52" s="132" t="str">
        <f t="shared" si="109"/>
        <v/>
      </c>
      <c r="BS52" s="132" t="str">
        <f t="shared" si="110"/>
        <v/>
      </c>
      <c r="BT52" s="132" t="str">
        <f t="shared" si="111"/>
        <v/>
      </c>
      <c r="BU52" s="132" t="str">
        <f t="shared" si="112"/>
        <v/>
      </c>
      <c r="BV52" s="132" t="str">
        <f t="shared" si="113"/>
        <v/>
      </c>
      <c r="BW52" s="132" t="str">
        <f t="shared" si="114"/>
        <v/>
      </c>
      <c r="BX52" s="132" t="str">
        <f t="shared" si="115"/>
        <v/>
      </c>
      <c r="BY52" s="132" t="str">
        <f t="shared" si="116"/>
        <v/>
      </c>
      <c r="BZ52" s="132" t="str">
        <f t="shared" si="117"/>
        <v/>
      </c>
      <c r="CA52" s="132" t="str">
        <f t="shared" si="118"/>
        <v/>
      </c>
      <c r="CB52" s="132" t="str">
        <f t="shared" si="119"/>
        <v/>
      </c>
      <c r="CC52" s="132" t="str">
        <f t="shared" si="120"/>
        <v/>
      </c>
      <c r="CD52" s="132" t="str">
        <f t="shared" si="121"/>
        <v/>
      </c>
      <c r="CE52" s="132" t="str">
        <f t="shared" si="122"/>
        <v/>
      </c>
      <c r="CF52" s="132" t="str">
        <f t="shared" si="123"/>
        <v/>
      </c>
      <c r="CG52" s="132" t="str">
        <f t="shared" si="124"/>
        <v/>
      </c>
      <c r="CH52" s="132" t="str">
        <f>IF(COUNTIF($D52:$AE52,"A5")&gt;=1,COUNTIF($D52:$AE52,"A5"),"")</f>
        <v/>
      </c>
      <c r="CI52" s="132" t="str">
        <f t="shared" si="126"/>
        <v/>
      </c>
      <c r="CJ52" s="132" t="str">
        <f t="shared" si="127"/>
        <v/>
      </c>
      <c r="CK52" s="132" t="str">
        <f t="shared" si="128"/>
        <v/>
      </c>
      <c r="CL52" s="132">
        <f t="shared" si="129"/>
        <v>1</v>
      </c>
      <c r="CM52" s="132">
        <f t="shared" si="130"/>
        <v>1</v>
      </c>
      <c r="CN52" s="132">
        <f t="shared" si="131"/>
        <v>1</v>
      </c>
      <c r="CO52" s="132">
        <f t="shared" si="132"/>
        <v>1</v>
      </c>
      <c r="CP52" s="132">
        <f t="shared" si="133"/>
        <v>1</v>
      </c>
    </row>
    <row r="53" spans="1:94" s="98" customFormat="1" ht="15" customHeight="1" x14ac:dyDescent="0.25">
      <c r="A53" s="743"/>
      <c r="B53" s="99">
        <v>2</v>
      </c>
      <c r="C53" s="245" t="s">
        <v>348</v>
      </c>
      <c r="D53" s="510"/>
      <c r="E53" s="505"/>
      <c r="F53" s="511"/>
      <c r="G53" s="511"/>
      <c r="H53" s="505"/>
      <c r="I53" s="505"/>
      <c r="J53" s="505"/>
      <c r="K53" s="505"/>
      <c r="L53" s="505"/>
      <c r="M53" s="511" t="s">
        <v>104</v>
      </c>
      <c r="N53" s="505"/>
      <c r="O53" s="505"/>
      <c r="P53" s="505"/>
      <c r="Q53" s="505"/>
      <c r="R53" s="505" t="s">
        <v>102</v>
      </c>
      <c r="S53" s="510"/>
      <c r="T53" s="505"/>
      <c r="U53" s="511"/>
      <c r="V53" s="512" t="s">
        <v>425</v>
      </c>
      <c r="W53" s="505" t="s">
        <v>103</v>
      </c>
      <c r="X53" s="511" t="s">
        <v>101</v>
      </c>
      <c r="Y53" s="511"/>
      <c r="Z53" s="511"/>
      <c r="AA53" s="511"/>
      <c r="AB53" s="511"/>
      <c r="AC53" s="511"/>
      <c r="AD53" s="511"/>
      <c r="AE53" s="513"/>
      <c r="AF53" s="132" t="str">
        <f t="shared" si="71"/>
        <v/>
      </c>
      <c r="AG53" s="132" t="str">
        <f t="shared" si="72"/>
        <v/>
      </c>
      <c r="AH53" s="132" t="str">
        <f t="shared" si="73"/>
        <v/>
      </c>
      <c r="AI53" s="132" t="str">
        <f t="shared" si="74"/>
        <v/>
      </c>
      <c r="AJ53" s="132" t="str">
        <f t="shared" si="75"/>
        <v/>
      </c>
      <c r="AK53" s="132" t="str">
        <f t="shared" si="76"/>
        <v/>
      </c>
      <c r="AL53" s="132" t="str">
        <f t="shared" si="77"/>
        <v/>
      </c>
      <c r="AM53" s="132" t="str">
        <f t="shared" si="78"/>
        <v/>
      </c>
      <c r="AN53" s="132" t="str">
        <f t="shared" si="79"/>
        <v/>
      </c>
      <c r="AO53" s="132" t="str">
        <f t="shared" si="80"/>
        <v/>
      </c>
      <c r="AP53" s="132" t="str">
        <f t="shared" si="81"/>
        <v/>
      </c>
      <c r="AQ53" s="132" t="str">
        <f t="shared" si="82"/>
        <v/>
      </c>
      <c r="AR53" s="132" t="str">
        <f t="shared" si="83"/>
        <v/>
      </c>
      <c r="AS53" s="132" t="str">
        <f t="shared" si="84"/>
        <v/>
      </c>
      <c r="AT53" s="132" t="str">
        <f t="shared" si="85"/>
        <v/>
      </c>
      <c r="AU53" s="132" t="str">
        <f t="shared" si="86"/>
        <v/>
      </c>
      <c r="AV53" s="132" t="str">
        <f t="shared" si="87"/>
        <v/>
      </c>
      <c r="AW53" s="132" t="str">
        <f t="shared" si="88"/>
        <v/>
      </c>
      <c r="AX53" s="132" t="str">
        <f t="shared" si="89"/>
        <v/>
      </c>
      <c r="AY53" s="132" t="str">
        <f>IF(COUNTIF($D53:$AE53,"LC7")&gt;=1,COUNTIF($D53:$AE53,"LC7"),"")</f>
        <v/>
      </c>
      <c r="AZ53" s="132" t="str">
        <f t="shared" si="91"/>
        <v/>
      </c>
      <c r="BA53" s="132" t="str">
        <f t="shared" si="92"/>
        <v/>
      </c>
      <c r="BB53" s="132" t="str">
        <f t="shared" si="93"/>
        <v/>
      </c>
      <c r="BC53" s="132" t="str">
        <f t="shared" si="94"/>
        <v/>
      </c>
      <c r="BD53" s="132" t="str">
        <f t="shared" si="95"/>
        <v/>
      </c>
      <c r="BE53" s="132" t="str">
        <f t="shared" si="96"/>
        <v/>
      </c>
      <c r="BF53" s="132" t="str">
        <f t="shared" si="97"/>
        <v/>
      </c>
      <c r="BG53" s="132" t="str">
        <f t="shared" si="98"/>
        <v/>
      </c>
      <c r="BH53" s="132" t="str">
        <f t="shared" si="99"/>
        <v/>
      </c>
      <c r="BI53" s="132" t="str">
        <f t="shared" si="100"/>
        <v/>
      </c>
      <c r="BJ53" s="132" t="str">
        <f t="shared" si="101"/>
        <v/>
      </c>
      <c r="BK53" s="132" t="str">
        <f t="shared" si="102"/>
        <v/>
      </c>
      <c r="BL53" s="132" t="str">
        <f t="shared" si="103"/>
        <v/>
      </c>
      <c r="BM53" s="132" t="str">
        <f t="shared" si="104"/>
        <v/>
      </c>
      <c r="BN53" s="132" t="str">
        <f t="shared" si="105"/>
        <v/>
      </c>
      <c r="BO53" s="132" t="str">
        <f t="shared" si="106"/>
        <v/>
      </c>
      <c r="BP53" s="132" t="str">
        <f t="shared" si="107"/>
        <v/>
      </c>
      <c r="BQ53" s="132" t="str">
        <f t="shared" si="108"/>
        <v/>
      </c>
      <c r="BR53" s="132" t="str">
        <f t="shared" si="109"/>
        <v/>
      </c>
      <c r="BS53" s="132" t="str">
        <f t="shared" si="110"/>
        <v/>
      </c>
      <c r="BT53" s="132" t="str">
        <f t="shared" si="111"/>
        <v/>
      </c>
      <c r="BU53" s="132" t="str">
        <f t="shared" si="112"/>
        <v/>
      </c>
      <c r="BV53" s="132" t="str">
        <f t="shared" si="113"/>
        <v/>
      </c>
      <c r="BW53" s="132" t="str">
        <f t="shared" si="114"/>
        <v/>
      </c>
      <c r="BX53" s="132" t="str">
        <f t="shared" si="115"/>
        <v/>
      </c>
      <c r="BY53" s="132" t="str">
        <f t="shared" si="116"/>
        <v/>
      </c>
      <c r="BZ53" s="132" t="str">
        <f t="shared" si="117"/>
        <v/>
      </c>
      <c r="CA53" s="132" t="str">
        <f t="shared" si="118"/>
        <v/>
      </c>
      <c r="CB53" s="132" t="str">
        <f t="shared" si="119"/>
        <v/>
      </c>
      <c r="CC53" s="132" t="str">
        <f t="shared" si="120"/>
        <v/>
      </c>
      <c r="CD53" s="132" t="str">
        <f t="shared" si="121"/>
        <v/>
      </c>
      <c r="CE53" s="132" t="str">
        <f t="shared" si="122"/>
        <v/>
      </c>
      <c r="CF53" s="132" t="str">
        <f t="shared" si="123"/>
        <v/>
      </c>
      <c r="CG53" s="132" t="str">
        <f t="shared" si="124"/>
        <v/>
      </c>
      <c r="CH53" s="132" t="str">
        <f>IF(COUNTIF($D53:$AE53,"A5")&gt;=1,COUNTIF($D53:$AE53,"A5"),"")</f>
        <v/>
      </c>
      <c r="CI53" s="132" t="str">
        <f t="shared" si="126"/>
        <v/>
      </c>
      <c r="CJ53" s="132" t="str">
        <f t="shared" si="127"/>
        <v/>
      </c>
      <c r="CK53" s="132" t="str">
        <f t="shared" si="128"/>
        <v/>
      </c>
      <c r="CL53" s="132">
        <f t="shared" si="129"/>
        <v>1</v>
      </c>
      <c r="CM53" s="132">
        <f t="shared" si="130"/>
        <v>1</v>
      </c>
      <c r="CN53" s="132">
        <f t="shared" si="131"/>
        <v>1</v>
      </c>
      <c r="CO53" s="132">
        <f t="shared" si="132"/>
        <v>1</v>
      </c>
      <c r="CP53" s="132">
        <f t="shared" si="133"/>
        <v>1</v>
      </c>
    </row>
    <row r="54" spans="1:94" s="98" customFormat="1" ht="15" customHeight="1" x14ac:dyDescent="0.25">
      <c r="A54" s="743"/>
      <c r="B54" s="99">
        <v>3</v>
      </c>
      <c r="C54" s="245" t="s">
        <v>349</v>
      </c>
      <c r="D54" s="510"/>
      <c r="E54" s="505"/>
      <c r="F54" s="511"/>
      <c r="G54" s="505"/>
      <c r="H54" s="505"/>
      <c r="I54" s="505"/>
      <c r="J54" s="505"/>
      <c r="K54" s="505"/>
      <c r="L54" s="505"/>
      <c r="M54" s="505"/>
      <c r="N54" s="505" t="s">
        <v>104</v>
      </c>
      <c r="O54" s="505"/>
      <c r="P54" s="505" t="s">
        <v>102</v>
      </c>
      <c r="Q54" s="514" t="s">
        <v>425</v>
      </c>
      <c r="R54" s="505"/>
      <c r="S54" s="505"/>
      <c r="T54" s="504"/>
      <c r="U54" s="511"/>
      <c r="V54" s="511"/>
      <c r="W54" s="511"/>
      <c r="X54" s="511"/>
      <c r="Y54" s="511"/>
      <c r="Z54" s="511"/>
      <c r="AA54" s="511" t="s">
        <v>101</v>
      </c>
      <c r="AB54" s="511"/>
      <c r="AC54" s="511"/>
      <c r="AD54" s="511"/>
      <c r="AE54" s="513"/>
      <c r="AF54" s="132" t="str">
        <f t="shared" si="71"/>
        <v/>
      </c>
      <c r="AG54" s="132" t="str">
        <f t="shared" si="72"/>
        <v/>
      </c>
      <c r="AH54" s="132" t="str">
        <f t="shared" si="73"/>
        <v/>
      </c>
      <c r="AI54" s="132" t="str">
        <f t="shared" si="74"/>
        <v/>
      </c>
      <c r="AJ54" s="132" t="str">
        <f t="shared" si="75"/>
        <v/>
      </c>
      <c r="AK54" s="132" t="str">
        <f t="shared" si="76"/>
        <v/>
      </c>
      <c r="AL54" s="132" t="str">
        <f t="shared" si="77"/>
        <v/>
      </c>
      <c r="AM54" s="132" t="str">
        <f t="shared" si="78"/>
        <v/>
      </c>
      <c r="AN54" s="132" t="str">
        <f t="shared" si="79"/>
        <v/>
      </c>
      <c r="AO54" s="132" t="str">
        <f t="shared" si="80"/>
        <v/>
      </c>
      <c r="AP54" s="132" t="str">
        <f t="shared" si="81"/>
        <v/>
      </c>
      <c r="AQ54" s="132" t="str">
        <f t="shared" si="82"/>
        <v/>
      </c>
      <c r="AR54" s="132" t="str">
        <f t="shared" si="83"/>
        <v/>
      </c>
      <c r="AS54" s="132" t="str">
        <f t="shared" si="84"/>
        <v/>
      </c>
      <c r="AT54" s="132" t="str">
        <f t="shared" si="85"/>
        <v/>
      </c>
      <c r="AU54" s="132" t="str">
        <f t="shared" si="86"/>
        <v/>
      </c>
      <c r="AV54" s="132" t="str">
        <f t="shared" si="87"/>
        <v/>
      </c>
      <c r="AW54" s="132" t="str">
        <f t="shared" si="88"/>
        <v/>
      </c>
      <c r="AX54" s="132" t="str">
        <f>IF(COUNTIF($D54:$AE54,"LC6")&gt;=1,COUNTIF($D54:$AE54,"LC6"),"")</f>
        <v/>
      </c>
      <c r="AY54" s="132" t="str">
        <f>IF(COUNTIF($D54:$AE54,"LC7")&gt;=1,COUNTIF($D54:$AE54,"LC7"),"")</f>
        <v/>
      </c>
      <c r="AZ54" s="132" t="str">
        <f t="shared" si="91"/>
        <v/>
      </c>
      <c r="BA54" s="132" t="str">
        <f t="shared" si="92"/>
        <v/>
      </c>
      <c r="BB54" s="132" t="str">
        <f t="shared" si="93"/>
        <v/>
      </c>
      <c r="BC54" s="132" t="str">
        <f t="shared" si="94"/>
        <v/>
      </c>
      <c r="BD54" s="132" t="str">
        <f t="shared" si="95"/>
        <v/>
      </c>
      <c r="BE54" s="132" t="str">
        <f t="shared" si="96"/>
        <v/>
      </c>
      <c r="BF54" s="132" t="str">
        <f t="shared" si="97"/>
        <v/>
      </c>
      <c r="BG54" s="132" t="str">
        <f t="shared" si="98"/>
        <v/>
      </c>
      <c r="BH54" s="132" t="str">
        <f t="shared" si="99"/>
        <v/>
      </c>
      <c r="BI54" s="132" t="str">
        <f t="shared" si="100"/>
        <v/>
      </c>
      <c r="BJ54" s="132" t="str">
        <f t="shared" si="101"/>
        <v/>
      </c>
      <c r="BK54" s="132" t="str">
        <f t="shared" si="102"/>
        <v/>
      </c>
      <c r="BL54" s="132" t="str">
        <f t="shared" si="103"/>
        <v/>
      </c>
      <c r="BM54" s="132" t="str">
        <f t="shared" si="104"/>
        <v/>
      </c>
      <c r="BN54" s="132" t="str">
        <f t="shared" si="105"/>
        <v/>
      </c>
      <c r="BO54" s="132" t="str">
        <f t="shared" si="106"/>
        <v/>
      </c>
      <c r="BP54" s="132" t="str">
        <f t="shared" si="107"/>
        <v/>
      </c>
      <c r="BQ54" s="132" t="str">
        <f t="shared" si="108"/>
        <v/>
      </c>
      <c r="BR54" s="132" t="str">
        <f t="shared" si="109"/>
        <v/>
      </c>
      <c r="BS54" s="132" t="str">
        <f t="shared" si="110"/>
        <v/>
      </c>
      <c r="BT54" s="132" t="str">
        <f t="shared" si="111"/>
        <v/>
      </c>
      <c r="BU54" s="132" t="str">
        <f t="shared" si="112"/>
        <v/>
      </c>
      <c r="BV54" s="132" t="str">
        <f t="shared" si="113"/>
        <v/>
      </c>
      <c r="BW54" s="132" t="str">
        <f t="shared" si="114"/>
        <v/>
      </c>
      <c r="BX54" s="132" t="str">
        <f t="shared" si="115"/>
        <v/>
      </c>
      <c r="BY54" s="132" t="str">
        <f t="shared" si="116"/>
        <v/>
      </c>
      <c r="BZ54" s="132" t="str">
        <f t="shared" si="117"/>
        <v/>
      </c>
      <c r="CA54" s="132" t="str">
        <f t="shared" si="118"/>
        <v/>
      </c>
      <c r="CB54" s="132" t="str">
        <f t="shared" si="119"/>
        <v/>
      </c>
      <c r="CC54" s="132" t="str">
        <f t="shared" si="120"/>
        <v/>
      </c>
      <c r="CD54" s="132" t="str">
        <f t="shared" si="121"/>
        <v/>
      </c>
      <c r="CE54" s="132" t="str">
        <f t="shared" si="122"/>
        <v/>
      </c>
      <c r="CF54" s="132" t="str">
        <f t="shared" si="123"/>
        <v/>
      </c>
      <c r="CG54" s="132" t="str">
        <f t="shared" si="124"/>
        <v/>
      </c>
      <c r="CH54" s="132" t="str">
        <f>IF(COUNTIF($D54:$AE54,"A5")&gt;=1,COUNTIF($D54:$AE54,"A5"),"")</f>
        <v/>
      </c>
      <c r="CI54" s="132" t="str">
        <f t="shared" si="126"/>
        <v/>
      </c>
      <c r="CJ54" s="132" t="str">
        <f t="shared" si="127"/>
        <v/>
      </c>
      <c r="CK54" s="132" t="str">
        <f t="shared" si="128"/>
        <v/>
      </c>
      <c r="CL54" s="132">
        <f t="shared" si="129"/>
        <v>1</v>
      </c>
      <c r="CM54" s="132">
        <f t="shared" si="130"/>
        <v>1</v>
      </c>
      <c r="CN54" s="132">
        <f t="shared" si="131"/>
        <v>1</v>
      </c>
      <c r="CO54" s="132" t="str">
        <f t="shared" si="132"/>
        <v/>
      </c>
      <c r="CP54" s="132">
        <f t="shared" si="133"/>
        <v>1</v>
      </c>
    </row>
    <row r="55" spans="1:94" s="98" customFormat="1" ht="15" customHeight="1" x14ac:dyDescent="0.25">
      <c r="A55" s="743"/>
      <c r="B55" s="99">
        <v>4</v>
      </c>
      <c r="C55" s="245" t="s">
        <v>350</v>
      </c>
      <c r="D55" s="515"/>
      <c r="E55" s="515"/>
      <c r="F55" s="516"/>
      <c r="G55" s="515"/>
      <c r="H55" s="515"/>
      <c r="I55" s="515"/>
      <c r="J55" s="515"/>
      <c r="K55" s="515"/>
      <c r="L55" s="515"/>
      <c r="M55" s="515"/>
      <c r="N55" s="515"/>
      <c r="O55" s="516" t="s">
        <v>104</v>
      </c>
      <c r="P55" s="514" t="s">
        <v>425</v>
      </c>
      <c r="Q55" s="516" t="s">
        <v>102</v>
      </c>
      <c r="R55" s="515"/>
      <c r="S55" s="515"/>
      <c r="T55" s="516"/>
      <c r="U55" s="516"/>
      <c r="V55" s="516"/>
      <c r="W55" s="516"/>
      <c r="X55" s="516"/>
      <c r="Y55" s="516"/>
      <c r="Z55" s="516" t="s">
        <v>101</v>
      </c>
      <c r="AA55" s="516"/>
      <c r="AB55" s="516"/>
      <c r="AC55" s="516"/>
      <c r="AD55" s="516"/>
      <c r="AE55" s="517"/>
      <c r="AF55" s="132" t="str">
        <f t="shared" si="71"/>
        <v/>
      </c>
      <c r="AG55" s="132" t="str">
        <f t="shared" si="72"/>
        <v/>
      </c>
      <c r="AH55" s="132" t="str">
        <f t="shared" si="73"/>
        <v/>
      </c>
      <c r="AI55" s="132" t="str">
        <f t="shared" si="74"/>
        <v/>
      </c>
      <c r="AJ55" s="132" t="str">
        <f t="shared" si="75"/>
        <v/>
      </c>
      <c r="AK55" s="132" t="str">
        <f t="shared" si="76"/>
        <v/>
      </c>
      <c r="AL55" s="132" t="str">
        <f t="shared" si="77"/>
        <v/>
      </c>
      <c r="AM55" s="132" t="str">
        <f t="shared" si="78"/>
        <v/>
      </c>
      <c r="AN55" s="132" t="str">
        <f t="shared" si="79"/>
        <v/>
      </c>
      <c r="AO55" s="132" t="str">
        <f t="shared" si="80"/>
        <v/>
      </c>
      <c r="AP55" s="132" t="str">
        <f t="shared" si="81"/>
        <v/>
      </c>
      <c r="AQ55" s="132" t="str">
        <f t="shared" si="82"/>
        <v/>
      </c>
      <c r="AR55" s="132" t="str">
        <f t="shared" si="83"/>
        <v/>
      </c>
      <c r="AS55" s="132" t="str">
        <f t="shared" si="84"/>
        <v/>
      </c>
      <c r="AT55" s="132" t="str">
        <f t="shared" si="85"/>
        <v/>
      </c>
      <c r="AU55" s="132" t="str">
        <f t="shared" si="86"/>
        <v/>
      </c>
      <c r="AV55" s="132" t="str">
        <f t="shared" si="87"/>
        <v/>
      </c>
      <c r="AW55" s="132" t="str">
        <f t="shared" si="88"/>
        <v/>
      </c>
      <c r="AX55" s="132" t="str">
        <f>IF(COUNTIF($D55:$AE55,"LC6")&gt;=1,COUNTIF($D55:$AE55,"LC6"),"")</f>
        <v/>
      </c>
      <c r="AY55" s="132" t="str">
        <f t="shared" si="90"/>
        <v/>
      </c>
      <c r="AZ55" s="132" t="str">
        <f t="shared" si="91"/>
        <v/>
      </c>
      <c r="BA55" s="132" t="str">
        <f t="shared" si="92"/>
        <v/>
      </c>
      <c r="BB55" s="132" t="str">
        <f t="shared" si="93"/>
        <v/>
      </c>
      <c r="BC55" s="132" t="str">
        <f t="shared" si="94"/>
        <v/>
      </c>
      <c r="BD55" s="132" t="str">
        <f t="shared" si="95"/>
        <v/>
      </c>
      <c r="BE55" s="132" t="str">
        <f t="shared" si="96"/>
        <v/>
      </c>
      <c r="BF55" s="132" t="str">
        <f t="shared" si="97"/>
        <v/>
      </c>
      <c r="BG55" s="132" t="str">
        <f t="shared" si="98"/>
        <v/>
      </c>
      <c r="BH55" s="132" t="str">
        <f t="shared" si="99"/>
        <v/>
      </c>
      <c r="BI55" s="132" t="str">
        <f t="shared" si="100"/>
        <v/>
      </c>
      <c r="BJ55" s="132" t="str">
        <f t="shared" si="101"/>
        <v/>
      </c>
      <c r="BK55" s="132" t="str">
        <f t="shared" si="102"/>
        <v/>
      </c>
      <c r="BL55" s="132" t="str">
        <f t="shared" si="103"/>
        <v/>
      </c>
      <c r="BM55" s="132" t="str">
        <f t="shared" si="104"/>
        <v/>
      </c>
      <c r="BN55" s="132" t="str">
        <f t="shared" si="105"/>
        <v/>
      </c>
      <c r="BO55" s="132" t="str">
        <f t="shared" si="106"/>
        <v/>
      </c>
      <c r="BP55" s="132" t="str">
        <f t="shared" si="107"/>
        <v/>
      </c>
      <c r="BQ55" s="132" t="str">
        <f t="shared" si="108"/>
        <v/>
      </c>
      <c r="BR55" s="132" t="str">
        <f t="shared" si="109"/>
        <v/>
      </c>
      <c r="BS55" s="132" t="str">
        <f t="shared" si="110"/>
        <v/>
      </c>
      <c r="BT55" s="132" t="str">
        <f t="shared" si="111"/>
        <v/>
      </c>
      <c r="BU55" s="132" t="str">
        <f t="shared" si="112"/>
        <v/>
      </c>
      <c r="BV55" s="132" t="str">
        <f t="shared" si="113"/>
        <v/>
      </c>
      <c r="BW55" s="132" t="str">
        <f t="shared" si="114"/>
        <v/>
      </c>
      <c r="BX55" s="132" t="str">
        <f t="shared" si="115"/>
        <v/>
      </c>
      <c r="BY55" s="132" t="str">
        <f t="shared" si="116"/>
        <v/>
      </c>
      <c r="BZ55" s="132" t="str">
        <f t="shared" si="117"/>
        <v/>
      </c>
      <c r="CA55" s="132" t="str">
        <f t="shared" si="118"/>
        <v/>
      </c>
      <c r="CB55" s="132" t="str">
        <f t="shared" si="119"/>
        <v/>
      </c>
      <c r="CC55" s="132" t="str">
        <f t="shared" si="120"/>
        <v/>
      </c>
      <c r="CD55" s="132" t="str">
        <f t="shared" si="121"/>
        <v/>
      </c>
      <c r="CE55" s="132" t="str">
        <f t="shared" si="122"/>
        <v/>
      </c>
      <c r="CF55" s="132" t="str">
        <f t="shared" si="123"/>
        <v/>
      </c>
      <c r="CG55" s="132" t="str">
        <f t="shared" si="124"/>
        <v/>
      </c>
      <c r="CH55" s="132" t="str">
        <f t="shared" si="125"/>
        <v/>
      </c>
      <c r="CI55" s="132" t="str">
        <f t="shared" si="126"/>
        <v/>
      </c>
      <c r="CJ55" s="132" t="str">
        <f t="shared" si="127"/>
        <v/>
      </c>
      <c r="CK55" s="132" t="str">
        <f t="shared" si="128"/>
        <v/>
      </c>
      <c r="CL55" s="132">
        <f t="shared" si="129"/>
        <v>1</v>
      </c>
      <c r="CM55" s="132">
        <f t="shared" si="130"/>
        <v>1</v>
      </c>
      <c r="CN55" s="132">
        <f t="shared" si="131"/>
        <v>1</v>
      </c>
      <c r="CO55" s="132" t="str">
        <f t="shared" si="132"/>
        <v/>
      </c>
      <c r="CP55" s="132">
        <f t="shared" si="133"/>
        <v>1</v>
      </c>
    </row>
    <row r="56" spans="1:94" ht="15" customHeight="1" x14ac:dyDescent="0.25">
      <c r="A56" s="744">
        <v>6</v>
      </c>
      <c r="B56" s="92">
        <v>1</v>
      </c>
      <c r="C56" s="240" t="s">
        <v>347</v>
      </c>
      <c r="D56" s="371" t="s">
        <v>103</v>
      </c>
      <c r="E56" s="296" t="s">
        <v>425</v>
      </c>
      <c r="F56" s="371"/>
      <c r="G56" s="371"/>
      <c r="H56" s="370" t="s">
        <v>104</v>
      </c>
      <c r="I56" s="370"/>
      <c r="J56" s="373"/>
      <c r="K56" s="370"/>
      <c r="L56" s="370"/>
      <c r="M56" s="373"/>
      <c r="N56" s="373"/>
      <c r="O56" s="370"/>
      <c r="P56" s="301"/>
      <c r="Q56" s="301"/>
      <c r="R56" s="370"/>
      <c r="S56" s="370"/>
      <c r="T56" s="370"/>
      <c r="U56" s="373" t="s">
        <v>102</v>
      </c>
      <c r="V56" s="336"/>
      <c r="W56" s="336"/>
      <c r="X56" s="336"/>
      <c r="Y56" s="336"/>
      <c r="Z56" s="335"/>
      <c r="AA56" s="370"/>
      <c r="AB56" s="370"/>
      <c r="AC56" s="370" t="s">
        <v>101</v>
      </c>
      <c r="AD56" s="370"/>
      <c r="AE56" s="473"/>
      <c r="AF56" s="63" t="str">
        <f t="shared" si="71"/>
        <v/>
      </c>
      <c r="AG56" s="63" t="str">
        <f t="shared" si="72"/>
        <v/>
      </c>
      <c r="AH56" s="63" t="str">
        <f t="shared" si="73"/>
        <v/>
      </c>
      <c r="AI56" s="63" t="str">
        <f t="shared" si="74"/>
        <v/>
      </c>
      <c r="AJ56" s="63" t="str">
        <f t="shared" si="75"/>
        <v/>
      </c>
      <c r="AK56" s="63" t="str">
        <f t="shared" si="76"/>
        <v/>
      </c>
      <c r="AL56" s="63" t="str">
        <f t="shared" si="77"/>
        <v/>
      </c>
      <c r="AM56" s="63" t="str">
        <f t="shared" si="78"/>
        <v/>
      </c>
      <c r="AN56" s="63" t="str">
        <f t="shared" si="79"/>
        <v/>
      </c>
      <c r="AO56" s="63" t="str">
        <f t="shared" si="80"/>
        <v/>
      </c>
      <c r="AP56" s="63" t="str">
        <f t="shared" si="81"/>
        <v/>
      </c>
      <c r="AQ56" s="63" t="str">
        <f t="shared" si="82"/>
        <v/>
      </c>
      <c r="AR56" s="63" t="str">
        <f t="shared" si="83"/>
        <v/>
      </c>
      <c r="AS56" s="63" t="str">
        <f t="shared" si="84"/>
        <v/>
      </c>
      <c r="AT56" s="63" t="str">
        <f t="shared" si="85"/>
        <v/>
      </c>
      <c r="AU56" s="63" t="str">
        <f t="shared" si="86"/>
        <v/>
      </c>
      <c r="AV56" s="63" t="str">
        <f t="shared" si="87"/>
        <v/>
      </c>
      <c r="AW56" s="63" t="str">
        <f t="shared" si="88"/>
        <v/>
      </c>
      <c r="AX56" s="63" t="str">
        <f t="shared" si="89"/>
        <v/>
      </c>
      <c r="AY56" s="63" t="str">
        <f t="shared" si="90"/>
        <v/>
      </c>
      <c r="AZ56" s="63" t="str">
        <f t="shared" si="91"/>
        <v/>
      </c>
      <c r="BA56" s="63" t="str">
        <f t="shared" si="92"/>
        <v/>
      </c>
      <c r="BB56" s="63" t="str">
        <f t="shared" si="93"/>
        <v/>
      </c>
      <c r="BC56" s="63" t="str">
        <f t="shared" si="94"/>
        <v/>
      </c>
      <c r="BD56" s="63" t="str">
        <f t="shared" si="95"/>
        <v/>
      </c>
      <c r="BE56" s="63" t="str">
        <f t="shared" si="96"/>
        <v/>
      </c>
      <c r="BF56" s="63" t="str">
        <f t="shared" si="97"/>
        <v/>
      </c>
      <c r="BG56" s="63" t="str">
        <f t="shared" si="98"/>
        <v/>
      </c>
      <c r="BH56" s="63" t="str">
        <f t="shared" si="99"/>
        <v/>
      </c>
      <c r="BI56" s="63" t="str">
        <f t="shared" si="100"/>
        <v/>
      </c>
      <c r="BJ56" s="63" t="str">
        <f t="shared" si="101"/>
        <v/>
      </c>
      <c r="BK56" s="63" t="str">
        <f t="shared" si="102"/>
        <v/>
      </c>
      <c r="BL56" s="63" t="str">
        <f t="shared" si="103"/>
        <v/>
      </c>
      <c r="BM56" s="63" t="str">
        <f t="shared" si="104"/>
        <v/>
      </c>
      <c r="BN56" s="63" t="str">
        <f t="shared" si="105"/>
        <v/>
      </c>
      <c r="BO56" s="63" t="str">
        <f t="shared" si="106"/>
        <v/>
      </c>
      <c r="BP56" s="63" t="str">
        <f t="shared" si="107"/>
        <v/>
      </c>
      <c r="BQ56" s="63" t="str">
        <f t="shared" si="108"/>
        <v/>
      </c>
      <c r="BR56" s="63" t="str">
        <f t="shared" si="109"/>
        <v/>
      </c>
      <c r="BS56" s="63" t="str">
        <f t="shared" si="110"/>
        <v/>
      </c>
      <c r="BT56" s="63" t="str">
        <f t="shared" si="111"/>
        <v/>
      </c>
      <c r="BU56" s="63" t="str">
        <f t="shared" si="112"/>
        <v/>
      </c>
      <c r="BV56" s="63" t="str">
        <f t="shared" si="113"/>
        <v/>
      </c>
      <c r="BW56" s="63" t="str">
        <f t="shared" si="114"/>
        <v/>
      </c>
      <c r="BX56" s="63" t="str">
        <f t="shared" si="115"/>
        <v/>
      </c>
      <c r="BY56" s="63" t="str">
        <f t="shared" si="116"/>
        <v/>
      </c>
      <c r="BZ56" s="63" t="str">
        <f t="shared" si="117"/>
        <v/>
      </c>
      <c r="CA56" s="63" t="str">
        <f t="shared" si="118"/>
        <v/>
      </c>
      <c r="CB56" s="63" t="str">
        <f t="shared" si="119"/>
        <v/>
      </c>
      <c r="CC56" s="63" t="str">
        <f t="shared" si="120"/>
        <v/>
      </c>
      <c r="CD56" s="63" t="str">
        <f t="shared" si="121"/>
        <v/>
      </c>
      <c r="CE56" s="63" t="str">
        <f t="shared" si="122"/>
        <v/>
      </c>
      <c r="CF56" s="63" t="str">
        <f t="shared" si="123"/>
        <v/>
      </c>
      <c r="CG56" s="63" t="str">
        <f t="shared" si="124"/>
        <v/>
      </c>
      <c r="CH56" s="63" t="str">
        <f t="shared" si="125"/>
        <v/>
      </c>
      <c r="CI56" s="63" t="str">
        <f t="shared" si="126"/>
        <v/>
      </c>
      <c r="CJ56" s="63" t="str">
        <f t="shared" si="127"/>
        <v/>
      </c>
      <c r="CK56" s="63" t="str">
        <f t="shared" si="128"/>
        <v/>
      </c>
      <c r="CL56" s="63">
        <f t="shared" si="129"/>
        <v>1</v>
      </c>
      <c r="CM56" s="63">
        <f t="shared" si="130"/>
        <v>1</v>
      </c>
      <c r="CN56" s="63">
        <f t="shared" si="131"/>
        <v>1</v>
      </c>
      <c r="CO56" s="63">
        <f t="shared" si="132"/>
        <v>1</v>
      </c>
      <c r="CP56" s="63">
        <f t="shared" si="133"/>
        <v>1</v>
      </c>
    </row>
    <row r="57" spans="1:94" ht="15" customHeight="1" x14ac:dyDescent="0.25">
      <c r="A57" s="744"/>
      <c r="B57" s="93">
        <v>2</v>
      </c>
      <c r="C57" s="241" t="s">
        <v>348</v>
      </c>
      <c r="D57" s="296" t="s">
        <v>425</v>
      </c>
      <c r="E57" s="371" t="s">
        <v>103</v>
      </c>
      <c r="F57" s="371"/>
      <c r="G57" s="371"/>
      <c r="H57" s="371"/>
      <c r="I57" s="371" t="s">
        <v>104</v>
      </c>
      <c r="J57" s="371"/>
      <c r="K57" s="371"/>
      <c r="L57" s="371"/>
      <c r="M57" s="371"/>
      <c r="N57" s="371"/>
      <c r="O57" s="371"/>
      <c r="P57" s="301"/>
      <c r="Q57" s="301"/>
      <c r="R57" s="371"/>
      <c r="S57" s="371"/>
      <c r="T57" s="371"/>
      <c r="U57" s="296" t="s">
        <v>102</v>
      </c>
      <c r="V57" s="328"/>
      <c r="W57" s="328"/>
      <c r="X57" s="328"/>
      <c r="Y57" s="328"/>
      <c r="Z57" s="337"/>
      <c r="AA57" s="371"/>
      <c r="AB57" s="371" t="s">
        <v>101</v>
      </c>
      <c r="AC57" s="371"/>
      <c r="AD57" s="371"/>
      <c r="AE57" s="474"/>
      <c r="AF57" s="63" t="str">
        <f t="shared" si="71"/>
        <v/>
      </c>
      <c r="AG57" s="63" t="str">
        <f t="shared" si="72"/>
        <v/>
      </c>
      <c r="AH57" s="63" t="str">
        <f t="shared" si="73"/>
        <v/>
      </c>
      <c r="AI57" s="63" t="str">
        <f t="shared" si="74"/>
        <v/>
      </c>
      <c r="AJ57" s="63" t="str">
        <f t="shared" si="75"/>
        <v/>
      </c>
      <c r="AK57" s="63" t="str">
        <f t="shared" si="76"/>
        <v/>
      </c>
      <c r="AL57" s="63" t="str">
        <f t="shared" si="77"/>
        <v/>
      </c>
      <c r="AM57" s="63" t="str">
        <f t="shared" si="78"/>
        <v/>
      </c>
      <c r="AN57" s="63" t="str">
        <f t="shared" si="79"/>
        <v/>
      </c>
      <c r="AO57" s="63" t="str">
        <f t="shared" si="80"/>
        <v/>
      </c>
      <c r="AP57" s="63" t="str">
        <f t="shared" si="81"/>
        <v/>
      </c>
      <c r="AQ57" s="63" t="str">
        <f t="shared" si="82"/>
        <v/>
      </c>
      <c r="AR57" s="63" t="str">
        <f t="shared" si="83"/>
        <v/>
      </c>
      <c r="AS57" s="63" t="str">
        <f t="shared" si="84"/>
        <v/>
      </c>
      <c r="AT57" s="63" t="str">
        <f t="shared" si="85"/>
        <v/>
      </c>
      <c r="AU57" s="63" t="str">
        <f t="shared" si="86"/>
        <v/>
      </c>
      <c r="AV57" s="63" t="str">
        <f t="shared" si="87"/>
        <v/>
      </c>
      <c r="AW57" s="63" t="str">
        <f t="shared" si="88"/>
        <v/>
      </c>
      <c r="AX57" s="63" t="str">
        <f t="shared" si="89"/>
        <v/>
      </c>
      <c r="AY57" s="63" t="str">
        <f t="shared" si="90"/>
        <v/>
      </c>
      <c r="AZ57" s="63" t="str">
        <f t="shared" si="91"/>
        <v/>
      </c>
      <c r="BA57" s="63" t="str">
        <f t="shared" si="92"/>
        <v/>
      </c>
      <c r="BB57" s="63" t="str">
        <f t="shared" si="93"/>
        <v/>
      </c>
      <c r="BC57" s="63" t="str">
        <f t="shared" si="94"/>
        <v/>
      </c>
      <c r="BD57" s="63" t="str">
        <f t="shared" si="95"/>
        <v/>
      </c>
      <c r="BE57" s="63" t="str">
        <f t="shared" si="96"/>
        <v/>
      </c>
      <c r="BF57" s="63" t="str">
        <f t="shared" si="97"/>
        <v/>
      </c>
      <c r="BG57" s="63" t="str">
        <f t="shared" si="98"/>
        <v/>
      </c>
      <c r="BH57" s="63" t="str">
        <f t="shared" si="99"/>
        <v/>
      </c>
      <c r="BI57" s="63" t="str">
        <f t="shared" si="100"/>
        <v/>
      </c>
      <c r="BJ57" s="63" t="str">
        <f t="shared" si="101"/>
        <v/>
      </c>
      <c r="BK57" s="63" t="str">
        <f t="shared" si="102"/>
        <v/>
      </c>
      <c r="BL57" s="63" t="str">
        <f t="shared" si="103"/>
        <v/>
      </c>
      <c r="BM57" s="63" t="str">
        <f t="shared" si="104"/>
        <v/>
      </c>
      <c r="BN57" s="63" t="str">
        <f t="shared" si="105"/>
        <v/>
      </c>
      <c r="BO57" s="63" t="str">
        <f t="shared" si="106"/>
        <v/>
      </c>
      <c r="BP57" s="63" t="str">
        <f t="shared" si="107"/>
        <v/>
      </c>
      <c r="BQ57" s="63" t="str">
        <f t="shared" si="108"/>
        <v/>
      </c>
      <c r="BR57" s="63" t="str">
        <f t="shared" si="109"/>
        <v/>
      </c>
      <c r="BS57" s="63" t="str">
        <f t="shared" si="110"/>
        <v/>
      </c>
      <c r="BT57" s="63" t="str">
        <f t="shared" si="111"/>
        <v/>
      </c>
      <c r="BU57" s="63" t="str">
        <f t="shared" si="112"/>
        <v/>
      </c>
      <c r="BV57" s="63" t="str">
        <f t="shared" si="113"/>
        <v/>
      </c>
      <c r="BW57" s="63" t="str">
        <f t="shared" si="114"/>
        <v/>
      </c>
      <c r="BX57" s="63" t="str">
        <f t="shared" si="115"/>
        <v/>
      </c>
      <c r="BY57" s="63" t="str">
        <f t="shared" si="116"/>
        <v/>
      </c>
      <c r="BZ57" s="63" t="str">
        <f t="shared" si="117"/>
        <v/>
      </c>
      <c r="CA57" s="63" t="str">
        <f t="shared" si="118"/>
        <v/>
      </c>
      <c r="CB57" s="63" t="str">
        <f t="shared" si="119"/>
        <v/>
      </c>
      <c r="CC57" s="63" t="str">
        <f t="shared" si="120"/>
        <v/>
      </c>
      <c r="CD57" s="63" t="str">
        <f t="shared" si="121"/>
        <v/>
      </c>
      <c r="CE57" s="63" t="str">
        <f t="shared" si="122"/>
        <v/>
      </c>
      <c r="CF57" s="63" t="str">
        <f t="shared" si="123"/>
        <v/>
      </c>
      <c r="CG57" s="63" t="str">
        <f t="shared" si="124"/>
        <v/>
      </c>
      <c r="CH57" s="63" t="str">
        <f t="shared" si="125"/>
        <v/>
      </c>
      <c r="CI57" s="63" t="str">
        <f t="shared" si="126"/>
        <v/>
      </c>
      <c r="CJ57" s="63" t="str">
        <f t="shared" si="127"/>
        <v/>
      </c>
      <c r="CK57" s="63" t="str">
        <f t="shared" si="128"/>
        <v/>
      </c>
      <c r="CL57" s="63">
        <f t="shared" si="129"/>
        <v>1</v>
      </c>
      <c r="CM57" s="63">
        <f t="shared" si="130"/>
        <v>1</v>
      </c>
      <c r="CN57" s="63">
        <f t="shared" si="131"/>
        <v>1</v>
      </c>
      <c r="CO57" s="63">
        <f t="shared" si="132"/>
        <v>1</v>
      </c>
      <c r="CP57" s="63">
        <f t="shared" si="133"/>
        <v>1</v>
      </c>
    </row>
    <row r="58" spans="1:94" ht="15" customHeight="1" x14ac:dyDescent="0.25">
      <c r="A58" s="744"/>
      <c r="B58" s="93">
        <v>3</v>
      </c>
      <c r="C58" s="241" t="s">
        <v>349</v>
      </c>
      <c r="D58" s="371"/>
      <c r="E58" s="371"/>
      <c r="F58" s="371" t="s">
        <v>103</v>
      </c>
      <c r="G58" s="296" t="s">
        <v>425</v>
      </c>
      <c r="H58" s="371"/>
      <c r="I58" s="371"/>
      <c r="J58" s="301" t="s">
        <v>104</v>
      </c>
      <c r="K58" s="371"/>
      <c r="L58" s="371"/>
      <c r="M58" s="371"/>
      <c r="N58" s="371"/>
      <c r="O58" s="371"/>
      <c r="P58" s="371"/>
      <c r="Q58" s="296"/>
      <c r="R58" s="371"/>
      <c r="S58" s="371"/>
      <c r="T58" s="296" t="s">
        <v>102</v>
      </c>
      <c r="U58" s="371"/>
      <c r="V58" s="328"/>
      <c r="W58" s="328"/>
      <c r="X58" s="337"/>
      <c r="Y58" s="328"/>
      <c r="Z58" s="328"/>
      <c r="AA58" s="371"/>
      <c r="AB58" s="371"/>
      <c r="AC58" s="371"/>
      <c r="AD58" s="371"/>
      <c r="AE58" s="475" t="s">
        <v>101</v>
      </c>
      <c r="AF58" s="63" t="str">
        <f t="shared" si="71"/>
        <v/>
      </c>
      <c r="AG58" s="63" t="str">
        <f t="shared" si="72"/>
        <v/>
      </c>
      <c r="AH58" s="63" t="str">
        <f t="shared" si="73"/>
        <v/>
      </c>
      <c r="AI58" s="63" t="str">
        <f t="shared" si="74"/>
        <v/>
      </c>
      <c r="AJ58" s="63" t="str">
        <f t="shared" si="75"/>
        <v/>
      </c>
      <c r="AK58" s="63" t="str">
        <f t="shared" si="76"/>
        <v/>
      </c>
      <c r="AL58" s="63" t="str">
        <f t="shared" si="77"/>
        <v/>
      </c>
      <c r="AM58" s="63" t="str">
        <f t="shared" si="78"/>
        <v/>
      </c>
      <c r="AN58" s="63" t="str">
        <f t="shared" si="79"/>
        <v/>
      </c>
      <c r="AO58" s="63" t="str">
        <f t="shared" si="80"/>
        <v/>
      </c>
      <c r="AP58" s="63" t="str">
        <f t="shared" si="81"/>
        <v/>
      </c>
      <c r="AQ58" s="63" t="str">
        <f t="shared" si="82"/>
        <v/>
      </c>
      <c r="AR58" s="63" t="str">
        <f t="shared" si="83"/>
        <v/>
      </c>
      <c r="AS58" s="63" t="str">
        <f t="shared" si="84"/>
        <v/>
      </c>
      <c r="AT58" s="63" t="str">
        <f t="shared" si="85"/>
        <v/>
      </c>
      <c r="AU58" s="63" t="str">
        <f t="shared" si="86"/>
        <v/>
      </c>
      <c r="AV58" s="63" t="str">
        <f t="shared" si="87"/>
        <v/>
      </c>
      <c r="AW58" s="63" t="str">
        <f t="shared" si="88"/>
        <v/>
      </c>
      <c r="AX58" s="63" t="str">
        <f t="shared" si="89"/>
        <v/>
      </c>
      <c r="AY58" s="63" t="str">
        <f t="shared" si="90"/>
        <v/>
      </c>
      <c r="AZ58" s="63" t="str">
        <f t="shared" si="91"/>
        <v/>
      </c>
      <c r="BA58" s="63" t="str">
        <f t="shared" si="92"/>
        <v/>
      </c>
      <c r="BB58" s="63" t="str">
        <f t="shared" si="93"/>
        <v/>
      </c>
      <c r="BC58" s="63" t="str">
        <f t="shared" si="94"/>
        <v/>
      </c>
      <c r="BD58" s="63" t="str">
        <f t="shared" si="95"/>
        <v/>
      </c>
      <c r="BE58" s="63" t="str">
        <f t="shared" si="96"/>
        <v/>
      </c>
      <c r="BF58" s="63" t="str">
        <f t="shared" si="97"/>
        <v/>
      </c>
      <c r="BG58" s="63" t="str">
        <f t="shared" si="98"/>
        <v/>
      </c>
      <c r="BH58" s="63" t="str">
        <f t="shared" si="99"/>
        <v/>
      </c>
      <c r="BI58" s="63" t="str">
        <f t="shared" si="100"/>
        <v/>
      </c>
      <c r="BJ58" s="63" t="str">
        <f t="shared" si="101"/>
        <v/>
      </c>
      <c r="BK58" s="63" t="str">
        <f t="shared" si="102"/>
        <v/>
      </c>
      <c r="BL58" s="63" t="str">
        <f t="shared" si="103"/>
        <v/>
      </c>
      <c r="BM58" s="63" t="str">
        <f t="shared" si="104"/>
        <v/>
      </c>
      <c r="BN58" s="63" t="str">
        <f t="shared" si="105"/>
        <v/>
      </c>
      <c r="BO58" s="63" t="str">
        <f t="shared" si="106"/>
        <v/>
      </c>
      <c r="BP58" s="63" t="str">
        <f t="shared" si="107"/>
        <v/>
      </c>
      <c r="BQ58" s="63" t="str">
        <f t="shared" si="108"/>
        <v/>
      </c>
      <c r="BR58" s="63" t="str">
        <f t="shared" si="109"/>
        <v/>
      </c>
      <c r="BS58" s="63" t="str">
        <f t="shared" si="110"/>
        <v/>
      </c>
      <c r="BT58" s="63" t="str">
        <f t="shared" si="111"/>
        <v/>
      </c>
      <c r="BU58" s="63" t="str">
        <f t="shared" si="112"/>
        <v/>
      </c>
      <c r="BV58" s="63" t="str">
        <f t="shared" si="113"/>
        <v/>
      </c>
      <c r="BW58" s="63" t="str">
        <f t="shared" si="114"/>
        <v/>
      </c>
      <c r="BX58" s="63" t="str">
        <f t="shared" si="115"/>
        <v/>
      </c>
      <c r="BY58" s="63" t="str">
        <f t="shared" si="116"/>
        <v/>
      </c>
      <c r="BZ58" s="63" t="str">
        <f t="shared" si="117"/>
        <v/>
      </c>
      <c r="CA58" s="63" t="str">
        <f t="shared" si="118"/>
        <v/>
      </c>
      <c r="CB58" s="63" t="str">
        <f t="shared" si="119"/>
        <v/>
      </c>
      <c r="CC58" s="63" t="str">
        <f t="shared" si="120"/>
        <v/>
      </c>
      <c r="CD58" s="63" t="str">
        <f t="shared" si="121"/>
        <v/>
      </c>
      <c r="CE58" s="63" t="str">
        <f t="shared" si="122"/>
        <v/>
      </c>
      <c r="CF58" s="63" t="str">
        <f t="shared" si="123"/>
        <v/>
      </c>
      <c r="CG58" s="63" t="str">
        <f t="shared" si="124"/>
        <v/>
      </c>
      <c r="CH58" s="63" t="str">
        <f t="shared" si="125"/>
        <v/>
      </c>
      <c r="CI58" s="63" t="str">
        <f t="shared" si="126"/>
        <v/>
      </c>
      <c r="CJ58" s="63" t="str">
        <f t="shared" si="127"/>
        <v/>
      </c>
      <c r="CK58" s="63" t="str">
        <f t="shared" si="128"/>
        <v/>
      </c>
      <c r="CL58" s="63">
        <f t="shared" si="129"/>
        <v>1</v>
      </c>
      <c r="CM58" s="63">
        <f>IF(COUNTIF($D58:$AE58,"TQ1")&gt;=1,COUNTIF($D58:$AE58,"TQ1"),"")</f>
        <v>1</v>
      </c>
      <c r="CN58" s="63">
        <f>IF(COUNTIF($D58:$AE58,"TQ3")&gt;=1,COUNTIF($D58:$AE58,"TQ3"),"")</f>
        <v>1</v>
      </c>
      <c r="CO58" s="63">
        <f t="shared" si="132"/>
        <v>1</v>
      </c>
      <c r="CP58" s="63">
        <f t="shared" si="133"/>
        <v>1</v>
      </c>
    </row>
    <row r="59" spans="1:94" ht="15" customHeight="1" x14ac:dyDescent="0.25">
      <c r="A59" s="744"/>
      <c r="B59" s="93">
        <v>4</v>
      </c>
      <c r="C59" s="241" t="s">
        <v>350</v>
      </c>
      <c r="D59" s="371"/>
      <c r="E59" s="371"/>
      <c r="F59" s="296" t="s">
        <v>425</v>
      </c>
      <c r="G59" s="371" t="s">
        <v>103</v>
      </c>
      <c r="H59" s="295"/>
      <c r="I59" s="294"/>
      <c r="J59" s="327"/>
      <c r="K59" s="294" t="s">
        <v>104</v>
      </c>
      <c r="L59" s="294"/>
      <c r="M59" s="293"/>
      <c r="N59" s="294"/>
      <c r="O59" s="294"/>
      <c r="P59" s="327"/>
      <c r="Q59" s="327"/>
      <c r="R59" s="295"/>
      <c r="S59" s="376"/>
      <c r="T59" s="372" t="s">
        <v>102</v>
      </c>
      <c r="U59" s="327"/>
      <c r="V59" s="333"/>
      <c r="W59" s="333"/>
      <c r="X59" s="334"/>
      <c r="Y59" s="333"/>
      <c r="Z59" s="333"/>
      <c r="AA59" s="372"/>
      <c r="AB59" s="372"/>
      <c r="AC59" s="372"/>
      <c r="AD59" s="372" t="s">
        <v>101</v>
      </c>
      <c r="AE59" s="476"/>
      <c r="AF59" s="63" t="str">
        <f t="shared" si="71"/>
        <v/>
      </c>
      <c r="AG59" s="63" t="str">
        <f t="shared" si="72"/>
        <v/>
      </c>
      <c r="AH59" s="63" t="str">
        <f t="shared" si="73"/>
        <v/>
      </c>
      <c r="AI59" s="63" t="str">
        <f t="shared" si="74"/>
        <v/>
      </c>
      <c r="AJ59" s="63" t="str">
        <f t="shared" si="75"/>
        <v/>
      </c>
      <c r="AK59" s="63" t="str">
        <f t="shared" si="76"/>
        <v/>
      </c>
      <c r="AL59" s="63" t="str">
        <f t="shared" si="77"/>
        <v/>
      </c>
      <c r="AM59" s="63" t="str">
        <f t="shared" si="78"/>
        <v/>
      </c>
      <c r="AN59" s="63" t="str">
        <f t="shared" si="79"/>
        <v/>
      </c>
      <c r="AO59" s="63" t="str">
        <f t="shared" si="80"/>
        <v/>
      </c>
      <c r="AP59" s="63" t="str">
        <f t="shared" si="81"/>
        <v/>
      </c>
      <c r="AQ59" s="63" t="str">
        <f t="shared" si="82"/>
        <v/>
      </c>
      <c r="AR59" s="63" t="str">
        <f t="shared" si="83"/>
        <v/>
      </c>
      <c r="AS59" s="63" t="str">
        <f t="shared" si="84"/>
        <v/>
      </c>
      <c r="AT59" s="63" t="str">
        <f t="shared" si="85"/>
        <v/>
      </c>
      <c r="AU59" s="63" t="str">
        <f t="shared" si="86"/>
        <v/>
      </c>
      <c r="AV59" s="63" t="str">
        <f t="shared" si="87"/>
        <v/>
      </c>
      <c r="AW59" s="63" t="str">
        <f t="shared" si="88"/>
        <v/>
      </c>
      <c r="AX59" s="63" t="str">
        <f t="shared" si="89"/>
        <v/>
      </c>
      <c r="AY59" s="63" t="str">
        <f t="shared" si="90"/>
        <v/>
      </c>
      <c r="AZ59" s="63" t="str">
        <f t="shared" si="91"/>
        <v/>
      </c>
      <c r="BA59" s="63" t="str">
        <f t="shared" si="92"/>
        <v/>
      </c>
      <c r="BB59" s="63" t="str">
        <f t="shared" si="93"/>
        <v/>
      </c>
      <c r="BC59" s="63" t="str">
        <f t="shared" si="94"/>
        <v/>
      </c>
      <c r="BD59" s="63" t="str">
        <f t="shared" si="95"/>
        <v/>
      </c>
      <c r="BE59" s="63" t="str">
        <f t="shared" si="96"/>
        <v/>
      </c>
      <c r="BF59" s="63" t="str">
        <f t="shared" si="97"/>
        <v/>
      </c>
      <c r="BG59" s="63" t="str">
        <f t="shared" si="98"/>
        <v/>
      </c>
      <c r="BH59" s="63" t="str">
        <f t="shared" si="99"/>
        <v/>
      </c>
      <c r="BI59" s="63" t="str">
        <f t="shared" si="100"/>
        <v/>
      </c>
      <c r="BJ59" s="63" t="str">
        <f t="shared" si="101"/>
        <v/>
      </c>
      <c r="BK59" s="63" t="str">
        <f t="shared" si="102"/>
        <v/>
      </c>
      <c r="BL59" s="63" t="str">
        <f t="shared" si="103"/>
        <v/>
      </c>
      <c r="BM59" s="63" t="str">
        <f t="shared" si="104"/>
        <v/>
      </c>
      <c r="BN59" s="63" t="str">
        <f t="shared" si="105"/>
        <v/>
      </c>
      <c r="BO59" s="63" t="str">
        <f t="shared" si="106"/>
        <v/>
      </c>
      <c r="BP59" s="63" t="str">
        <f t="shared" si="107"/>
        <v/>
      </c>
      <c r="BQ59" s="63" t="str">
        <f t="shared" si="108"/>
        <v/>
      </c>
      <c r="BR59" s="63" t="str">
        <f t="shared" si="109"/>
        <v/>
      </c>
      <c r="BS59" s="63" t="str">
        <f t="shared" si="110"/>
        <v/>
      </c>
      <c r="BT59" s="63" t="str">
        <f t="shared" si="111"/>
        <v/>
      </c>
      <c r="BU59" s="63" t="str">
        <f t="shared" si="112"/>
        <v/>
      </c>
      <c r="BV59" s="63" t="str">
        <f t="shared" si="113"/>
        <v/>
      </c>
      <c r="BW59" s="63" t="str">
        <f t="shared" si="114"/>
        <v/>
      </c>
      <c r="BX59" s="63" t="str">
        <f t="shared" si="115"/>
        <v/>
      </c>
      <c r="BY59" s="63" t="str">
        <f t="shared" si="116"/>
        <v/>
      </c>
      <c r="BZ59" s="63" t="str">
        <f t="shared" si="117"/>
        <v/>
      </c>
      <c r="CA59" s="63" t="str">
        <f t="shared" si="118"/>
        <v/>
      </c>
      <c r="CB59" s="63" t="str">
        <f t="shared" si="119"/>
        <v/>
      </c>
      <c r="CC59" s="63" t="str">
        <f t="shared" si="120"/>
        <v/>
      </c>
      <c r="CD59" s="63" t="str">
        <f t="shared" si="121"/>
        <v/>
      </c>
      <c r="CE59" s="63" t="str">
        <f t="shared" si="122"/>
        <v/>
      </c>
      <c r="CF59" s="63" t="str">
        <f t="shared" si="123"/>
        <v/>
      </c>
      <c r="CG59" s="63" t="str">
        <f t="shared" si="124"/>
        <v/>
      </c>
      <c r="CH59" s="63" t="str">
        <f t="shared" si="125"/>
        <v/>
      </c>
      <c r="CI59" s="63" t="str">
        <f t="shared" si="126"/>
        <v/>
      </c>
      <c r="CJ59" s="63" t="str">
        <f t="shared" si="127"/>
        <v/>
      </c>
      <c r="CK59" s="63" t="str">
        <f t="shared" si="128"/>
        <v/>
      </c>
      <c r="CL59" s="63">
        <f t="shared" si="129"/>
        <v>1</v>
      </c>
      <c r="CM59" s="63">
        <f>IF(COUNTIF($D59:$AE59,"TQ1")&gt;=1,COUNTIF($D59:$AE59,"TQ1"),"")</f>
        <v>1</v>
      </c>
      <c r="CN59" s="63">
        <f>IF(COUNTIF($D59:$AE59,"TQ3")&gt;=1,COUNTIF($D59:$AE59,"TQ3"),"")</f>
        <v>1</v>
      </c>
      <c r="CO59" s="63">
        <f t="shared" si="132"/>
        <v>1</v>
      </c>
      <c r="CP59" s="63">
        <f t="shared" si="133"/>
        <v>1</v>
      </c>
    </row>
    <row r="60" spans="1:94" s="98" customFormat="1" ht="33.6" customHeight="1" thickBot="1" x14ac:dyDescent="0.3">
      <c r="A60" s="785"/>
      <c r="B60" s="786"/>
      <c r="C60" s="787"/>
      <c r="D60" s="299">
        <f t="shared" ref="D60:AD60" si="134">COUNTA(D40:D59)-3</f>
        <v>0</v>
      </c>
      <c r="E60" s="299">
        <f t="shared" si="134"/>
        <v>0</v>
      </c>
      <c r="F60" s="299">
        <f t="shared" si="134"/>
        <v>0</v>
      </c>
      <c r="G60" s="299">
        <f t="shared" si="134"/>
        <v>0</v>
      </c>
      <c r="H60" s="299">
        <f t="shared" si="134"/>
        <v>0</v>
      </c>
      <c r="I60" s="299">
        <f t="shared" si="134"/>
        <v>0</v>
      </c>
      <c r="J60" s="299">
        <f t="shared" si="134"/>
        <v>0</v>
      </c>
      <c r="K60" s="299">
        <f t="shared" si="134"/>
        <v>0</v>
      </c>
      <c r="L60" s="299">
        <f t="shared" si="134"/>
        <v>0</v>
      </c>
      <c r="M60" s="299">
        <f t="shared" si="134"/>
        <v>0</v>
      </c>
      <c r="N60" s="299">
        <f t="shared" si="134"/>
        <v>0</v>
      </c>
      <c r="O60" s="299">
        <f t="shared" si="134"/>
        <v>0</v>
      </c>
      <c r="P60" s="299">
        <f t="shared" si="134"/>
        <v>0</v>
      </c>
      <c r="Q60" s="299">
        <f>COUNTA(Q40:Q59)-3</f>
        <v>0</v>
      </c>
      <c r="R60" s="299">
        <f t="shared" si="134"/>
        <v>0</v>
      </c>
      <c r="S60" s="299">
        <f t="shared" si="134"/>
        <v>0</v>
      </c>
      <c r="T60" s="299">
        <f t="shared" si="134"/>
        <v>0</v>
      </c>
      <c r="U60" s="299">
        <f t="shared" si="134"/>
        <v>0</v>
      </c>
      <c r="V60" s="299">
        <f t="shared" si="134"/>
        <v>0</v>
      </c>
      <c r="W60" s="299">
        <f t="shared" si="134"/>
        <v>0</v>
      </c>
      <c r="X60" s="299">
        <f t="shared" si="134"/>
        <v>0</v>
      </c>
      <c r="Y60" s="299">
        <f t="shared" si="134"/>
        <v>0</v>
      </c>
      <c r="Z60" s="299">
        <f t="shared" si="134"/>
        <v>0</v>
      </c>
      <c r="AA60" s="299">
        <f t="shared" si="134"/>
        <v>0</v>
      </c>
      <c r="AB60" s="299">
        <f>COUNTA(AB40:AB59)-3</f>
        <v>0</v>
      </c>
      <c r="AC60" s="299">
        <f t="shared" si="134"/>
        <v>0</v>
      </c>
      <c r="AD60" s="299">
        <f t="shared" si="134"/>
        <v>0</v>
      </c>
      <c r="AE60" s="300">
        <f t="shared" ref="AE60" si="135">COUNTA(AE40:AE59)-3</f>
        <v>0</v>
      </c>
      <c r="AF60" s="132"/>
      <c r="AG60" s="132" t="str">
        <f t="shared" si="72"/>
        <v/>
      </c>
      <c r="AH60" s="132" t="str">
        <f t="shared" si="73"/>
        <v/>
      </c>
      <c r="AI60" s="132" t="str">
        <f t="shared" si="74"/>
        <v/>
      </c>
      <c r="AJ60" s="132" t="str">
        <f t="shared" si="75"/>
        <v/>
      </c>
      <c r="AK60" s="132" t="str">
        <f t="shared" si="76"/>
        <v/>
      </c>
      <c r="AL60" s="132" t="str">
        <f t="shared" si="77"/>
        <v/>
      </c>
      <c r="AM60" s="132" t="str">
        <f t="shared" si="78"/>
        <v/>
      </c>
      <c r="AN60" s="132" t="str">
        <f t="shared" si="79"/>
        <v/>
      </c>
      <c r="AO60" s="132" t="str">
        <f t="shared" si="80"/>
        <v/>
      </c>
      <c r="AP60" s="132" t="str">
        <f t="shared" si="81"/>
        <v/>
      </c>
      <c r="AQ60" s="132" t="str">
        <f t="shared" si="82"/>
        <v/>
      </c>
      <c r="AR60" s="132" t="str">
        <f t="shared" si="83"/>
        <v/>
      </c>
      <c r="AS60" s="132" t="str">
        <f t="shared" si="84"/>
        <v/>
      </c>
      <c r="AT60" s="132" t="str">
        <f t="shared" si="85"/>
        <v/>
      </c>
      <c r="AU60" s="132" t="str">
        <f t="shared" si="86"/>
        <v/>
      </c>
      <c r="AV60" s="132" t="str">
        <f t="shared" si="87"/>
        <v/>
      </c>
      <c r="AW60" s="132" t="str">
        <f t="shared" si="88"/>
        <v/>
      </c>
      <c r="AX60" s="132" t="str">
        <f t="shared" si="89"/>
        <v/>
      </c>
      <c r="AY60" s="132" t="str">
        <f t="shared" si="90"/>
        <v/>
      </c>
      <c r="AZ60" s="132" t="str">
        <f t="shared" si="91"/>
        <v/>
      </c>
      <c r="BA60" s="132" t="str">
        <f t="shared" si="92"/>
        <v/>
      </c>
      <c r="BB60" s="132" t="str">
        <f t="shared" si="93"/>
        <v/>
      </c>
      <c r="BC60" s="132" t="str">
        <f t="shared" si="94"/>
        <v/>
      </c>
      <c r="BD60" s="132" t="str">
        <f t="shared" si="95"/>
        <v/>
      </c>
      <c r="BE60" s="132" t="str">
        <f t="shared" si="96"/>
        <v/>
      </c>
      <c r="BF60" s="132" t="str">
        <f t="shared" si="97"/>
        <v/>
      </c>
      <c r="BG60" s="132" t="str">
        <f t="shared" si="98"/>
        <v/>
      </c>
      <c r="BH60" s="132" t="str">
        <f t="shared" si="99"/>
        <v/>
      </c>
      <c r="BI60" s="132" t="str">
        <f t="shared" si="100"/>
        <v/>
      </c>
      <c r="BJ60" s="132" t="str">
        <f t="shared" si="101"/>
        <v/>
      </c>
      <c r="BK60" s="132" t="str">
        <f t="shared" si="102"/>
        <v/>
      </c>
      <c r="BL60" s="132" t="str">
        <f t="shared" si="103"/>
        <v/>
      </c>
      <c r="BM60" s="132" t="str">
        <f t="shared" si="104"/>
        <v/>
      </c>
      <c r="BN60" s="132" t="str">
        <f t="shared" si="105"/>
        <v/>
      </c>
      <c r="BO60" s="132" t="str">
        <f t="shared" si="106"/>
        <v/>
      </c>
      <c r="BP60" s="132" t="str">
        <f t="shared" si="107"/>
        <v/>
      </c>
      <c r="BQ60" s="132" t="str">
        <f t="shared" si="108"/>
        <v/>
      </c>
      <c r="BR60" s="132" t="str">
        <f t="shared" si="109"/>
        <v/>
      </c>
      <c r="BS60" s="132" t="str">
        <f t="shared" si="110"/>
        <v/>
      </c>
      <c r="BT60" s="132" t="str">
        <f t="shared" si="111"/>
        <v/>
      </c>
      <c r="BU60" s="132" t="str">
        <f t="shared" si="112"/>
        <v/>
      </c>
      <c r="BV60" s="132" t="str">
        <f t="shared" si="113"/>
        <v/>
      </c>
      <c r="BW60" s="132" t="str">
        <f t="shared" si="114"/>
        <v/>
      </c>
      <c r="BX60" s="132" t="str">
        <f t="shared" si="115"/>
        <v/>
      </c>
      <c r="BY60" s="132" t="str">
        <f t="shared" si="116"/>
        <v/>
      </c>
      <c r="BZ60" s="132" t="str">
        <f t="shared" si="117"/>
        <v/>
      </c>
      <c r="CA60" s="132" t="str">
        <f t="shared" si="118"/>
        <v/>
      </c>
      <c r="CB60" s="132" t="str">
        <f t="shared" si="119"/>
        <v/>
      </c>
      <c r="CC60" s="132" t="str">
        <f t="shared" si="120"/>
        <v/>
      </c>
      <c r="CD60" s="132" t="str">
        <f t="shared" si="121"/>
        <v/>
      </c>
      <c r="CE60" s="132" t="str">
        <f t="shared" si="122"/>
        <v/>
      </c>
      <c r="CF60" s="132" t="str">
        <f t="shared" si="123"/>
        <v/>
      </c>
      <c r="CG60" s="132" t="str">
        <f t="shared" si="124"/>
        <v/>
      </c>
      <c r="CH60" s="132" t="str">
        <f t="shared" si="125"/>
        <v/>
      </c>
      <c r="CI60" s="132" t="str">
        <f t="shared" si="126"/>
        <v/>
      </c>
      <c r="CJ60" s="132" t="str">
        <f t="shared" si="127"/>
        <v/>
      </c>
      <c r="CK60" s="132" t="str">
        <f t="shared" si="128"/>
        <v/>
      </c>
      <c r="CL60" s="132" t="str">
        <f t="shared" si="129"/>
        <v/>
      </c>
      <c r="CM60" s="132" t="str">
        <f t="shared" si="130"/>
        <v/>
      </c>
      <c r="CN60" s="132" t="str">
        <f t="shared" si="131"/>
        <v/>
      </c>
      <c r="CO60" s="132" t="str">
        <f t="shared" si="132"/>
        <v/>
      </c>
      <c r="CP60" s="132" t="str">
        <f t="shared" si="133"/>
        <v/>
      </c>
    </row>
    <row r="61" spans="1:94" s="171" customFormat="1" ht="6.75" customHeight="1" thickTop="1" x14ac:dyDescent="0.2">
      <c r="A61" s="788"/>
      <c r="B61" s="788"/>
      <c r="C61" s="788"/>
      <c r="D61" s="788"/>
      <c r="E61" s="788"/>
      <c r="F61" s="788"/>
      <c r="G61" s="788"/>
      <c r="H61" s="788"/>
      <c r="I61" s="788"/>
      <c r="J61" s="788"/>
      <c r="K61" s="788"/>
      <c r="L61" s="788"/>
      <c r="M61" s="788"/>
      <c r="N61" s="788"/>
      <c r="O61" s="788"/>
      <c r="P61" s="788"/>
      <c r="Q61" s="788"/>
      <c r="R61" s="788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  <c r="AC61" s="788"/>
      <c r="AD61" s="788"/>
      <c r="AE61" s="789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</row>
    <row r="62" spans="1:94" s="171" customFormat="1" ht="11.25" x14ac:dyDescent="0.2">
      <c r="A62" s="545" t="s">
        <v>2</v>
      </c>
      <c r="B62" s="545" t="s">
        <v>362</v>
      </c>
      <c r="C62" s="755" t="s">
        <v>461</v>
      </c>
      <c r="D62" s="755"/>
      <c r="E62" s="746" t="s">
        <v>363</v>
      </c>
      <c r="F62" s="746"/>
      <c r="G62" s="555" t="s">
        <v>2</v>
      </c>
      <c r="H62" s="555" t="s">
        <v>362</v>
      </c>
      <c r="I62" s="814" t="s">
        <v>461</v>
      </c>
      <c r="J62" s="814"/>
      <c r="K62" s="814"/>
      <c r="L62" s="814"/>
      <c r="M62" s="758" t="s">
        <v>363</v>
      </c>
      <c r="N62" s="758"/>
      <c r="O62" s="552" t="s">
        <v>2</v>
      </c>
      <c r="P62" s="552" t="s">
        <v>362</v>
      </c>
      <c r="Q62" s="801" t="s">
        <v>461</v>
      </c>
      <c r="R62" s="801"/>
      <c r="S62" s="801"/>
      <c r="T62" s="801"/>
      <c r="U62" s="795" t="s">
        <v>363</v>
      </c>
      <c r="V62" s="795"/>
      <c r="W62" s="553" t="s">
        <v>2</v>
      </c>
      <c r="X62" s="553" t="s">
        <v>362</v>
      </c>
      <c r="Y62" s="802" t="s">
        <v>461</v>
      </c>
      <c r="Z62" s="802"/>
      <c r="AA62" s="802"/>
      <c r="AB62" s="802"/>
      <c r="AC62" s="793" t="s">
        <v>363</v>
      </c>
      <c r="AD62" s="793"/>
      <c r="AE62" s="794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4" s="171" customFormat="1" ht="11.25" x14ac:dyDescent="0.2">
      <c r="A63" s="486">
        <v>1</v>
      </c>
      <c r="B63" s="484" t="s">
        <v>13</v>
      </c>
      <c r="C63" s="753" t="s">
        <v>115</v>
      </c>
      <c r="D63" s="754"/>
      <c r="E63" s="747" t="s">
        <v>14</v>
      </c>
      <c r="F63" s="748"/>
      <c r="G63" s="265">
        <v>16</v>
      </c>
      <c r="H63" s="268" t="s">
        <v>80</v>
      </c>
      <c r="I63" s="808" t="s">
        <v>152</v>
      </c>
      <c r="J63" s="809"/>
      <c r="K63" s="809"/>
      <c r="L63" s="810"/>
      <c r="M63" s="759" t="s">
        <v>29</v>
      </c>
      <c r="N63" s="760"/>
      <c r="O63" s="266">
        <v>31</v>
      </c>
      <c r="P63" s="270" t="s">
        <v>101</v>
      </c>
      <c r="Q63" s="805" t="s">
        <v>164</v>
      </c>
      <c r="R63" s="806"/>
      <c r="S63" s="806"/>
      <c r="T63" s="807"/>
      <c r="U63" s="803" t="s">
        <v>465</v>
      </c>
      <c r="V63" s="804"/>
      <c r="W63" s="271">
        <v>46</v>
      </c>
      <c r="X63" s="272" t="s">
        <v>58</v>
      </c>
      <c r="Y63" s="477" t="s">
        <v>475</v>
      </c>
      <c r="Z63" s="478"/>
      <c r="AA63" s="478"/>
      <c r="AB63" s="479"/>
      <c r="AC63" s="796" t="s">
        <v>364</v>
      </c>
      <c r="AD63" s="797"/>
      <c r="AE63" s="798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4" s="171" customFormat="1" ht="11.25" x14ac:dyDescent="0.2">
      <c r="A64" s="487">
        <v>2</v>
      </c>
      <c r="B64" s="485" t="s">
        <v>45</v>
      </c>
      <c r="C64" s="751" t="s">
        <v>117</v>
      </c>
      <c r="D64" s="752"/>
      <c r="E64" s="749" t="s">
        <v>14</v>
      </c>
      <c r="F64" s="750"/>
      <c r="G64" s="267">
        <v>17</v>
      </c>
      <c r="H64" s="268" t="s">
        <v>189</v>
      </c>
      <c r="I64" s="763" t="s">
        <v>205</v>
      </c>
      <c r="J64" s="764"/>
      <c r="K64" s="764"/>
      <c r="L64" s="765"/>
      <c r="M64" s="756" t="s">
        <v>29</v>
      </c>
      <c r="N64" s="757"/>
      <c r="O64" s="269">
        <v>32</v>
      </c>
      <c r="P64" s="270" t="s">
        <v>102</v>
      </c>
      <c r="Q64" s="775" t="s">
        <v>166</v>
      </c>
      <c r="R64" s="776"/>
      <c r="S64" s="776"/>
      <c r="T64" s="777"/>
      <c r="U64" s="773" t="s">
        <v>465</v>
      </c>
      <c r="V64" s="774"/>
      <c r="W64" s="271">
        <v>47</v>
      </c>
      <c r="X64" s="272" t="s">
        <v>59</v>
      </c>
      <c r="Y64" s="477" t="s">
        <v>131</v>
      </c>
      <c r="Z64" s="478"/>
      <c r="AA64" s="478"/>
      <c r="AB64" s="479"/>
      <c r="AC64" s="790" t="s">
        <v>364</v>
      </c>
      <c r="AD64" s="791"/>
      <c r="AE64" s="792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</row>
    <row r="65" spans="1:94" s="171" customFormat="1" ht="11.25" x14ac:dyDescent="0.2">
      <c r="A65" s="487">
        <v>3</v>
      </c>
      <c r="B65" s="485" t="s">
        <v>46</v>
      </c>
      <c r="C65" s="751" t="s">
        <v>118</v>
      </c>
      <c r="D65" s="752"/>
      <c r="E65" s="749" t="s">
        <v>14</v>
      </c>
      <c r="F65" s="750"/>
      <c r="G65" s="267">
        <v>18</v>
      </c>
      <c r="H65" s="276" t="s">
        <v>78</v>
      </c>
      <c r="I65" s="811" t="s">
        <v>452</v>
      </c>
      <c r="J65" s="812"/>
      <c r="K65" s="812"/>
      <c r="L65" s="813"/>
      <c r="M65" s="756" t="s">
        <v>29</v>
      </c>
      <c r="N65" s="757"/>
      <c r="O65" s="269">
        <v>33</v>
      </c>
      <c r="P65" s="270" t="s">
        <v>103</v>
      </c>
      <c r="Q65" s="775" t="s">
        <v>167</v>
      </c>
      <c r="R65" s="776"/>
      <c r="S65" s="776"/>
      <c r="T65" s="777"/>
      <c r="U65" s="773" t="s">
        <v>465</v>
      </c>
      <c r="V65" s="774"/>
      <c r="W65" s="271">
        <v>48</v>
      </c>
      <c r="X65" s="272" t="s">
        <v>60</v>
      </c>
      <c r="Y65" s="477" t="s">
        <v>132</v>
      </c>
      <c r="Z65" s="478"/>
      <c r="AA65" s="478"/>
      <c r="AB65" s="479"/>
      <c r="AC65" s="790" t="s">
        <v>364</v>
      </c>
      <c r="AD65" s="791"/>
      <c r="AE65" s="792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</row>
    <row r="66" spans="1:94" s="171" customFormat="1" ht="11.25" x14ac:dyDescent="0.2">
      <c r="A66" s="487">
        <v>4</v>
      </c>
      <c r="B66" s="485" t="s">
        <v>47</v>
      </c>
      <c r="C66" s="751" t="s">
        <v>119</v>
      </c>
      <c r="D66" s="752"/>
      <c r="E66" s="749" t="s">
        <v>14</v>
      </c>
      <c r="F66" s="750"/>
      <c r="G66" s="267">
        <v>19</v>
      </c>
      <c r="H66" s="276" t="s">
        <v>79</v>
      </c>
      <c r="I66" s="811" t="s">
        <v>453</v>
      </c>
      <c r="J66" s="812"/>
      <c r="K66" s="812"/>
      <c r="L66" s="813"/>
      <c r="M66" s="756" t="s">
        <v>29</v>
      </c>
      <c r="N66" s="757"/>
      <c r="O66" s="269">
        <v>34</v>
      </c>
      <c r="P66" s="483" t="s">
        <v>104</v>
      </c>
      <c r="Q66" s="778" t="s">
        <v>455</v>
      </c>
      <c r="R66" s="779"/>
      <c r="S66" s="779"/>
      <c r="T66" s="780"/>
      <c r="U66" s="773" t="s">
        <v>465</v>
      </c>
      <c r="V66" s="774"/>
      <c r="W66" s="271">
        <v>49</v>
      </c>
      <c r="X66" s="272" t="s">
        <v>61</v>
      </c>
      <c r="Y66" s="477" t="s">
        <v>133</v>
      </c>
      <c r="Z66" s="478"/>
      <c r="AA66" s="478"/>
      <c r="AB66" s="479"/>
      <c r="AC66" s="790" t="s">
        <v>364</v>
      </c>
      <c r="AD66" s="791"/>
      <c r="AE66" s="792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</row>
    <row r="67" spans="1:94" s="171" customFormat="1" ht="11.25" x14ac:dyDescent="0.2">
      <c r="A67" s="487">
        <v>5</v>
      </c>
      <c r="B67" s="485" t="s">
        <v>48</v>
      </c>
      <c r="C67" s="751" t="s">
        <v>120</v>
      </c>
      <c r="D67" s="752"/>
      <c r="E67" s="749" t="s">
        <v>44</v>
      </c>
      <c r="F67" s="750"/>
      <c r="G67" s="267">
        <v>20</v>
      </c>
      <c r="H67" s="276" t="s">
        <v>81</v>
      </c>
      <c r="I67" s="554" t="s">
        <v>516</v>
      </c>
      <c r="J67" s="547"/>
      <c r="K67" s="547"/>
      <c r="L67" s="548"/>
      <c r="M67" s="756" t="s">
        <v>29</v>
      </c>
      <c r="N67" s="757"/>
      <c r="O67" s="269">
        <v>35</v>
      </c>
      <c r="P67" s="270" t="s">
        <v>83</v>
      </c>
      <c r="Q67" s="775" t="s">
        <v>153</v>
      </c>
      <c r="R67" s="776"/>
      <c r="S67" s="776"/>
      <c r="T67" s="777"/>
      <c r="U67" s="773" t="s">
        <v>467</v>
      </c>
      <c r="V67" s="774"/>
      <c r="W67" s="271">
        <v>50</v>
      </c>
      <c r="X67" s="272" t="s">
        <v>62</v>
      </c>
      <c r="Y67" s="477" t="s">
        <v>466</v>
      </c>
      <c r="Z67" s="478"/>
      <c r="AA67" s="478"/>
      <c r="AB67" s="479"/>
      <c r="AC67" s="790" t="s">
        <v>364</v>
      </c>
      <c r="AD67" s="791"/>
      <c r="AE67" s="792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</row>
    <row r="68" spans="1:94" s="171" customFormat="1" ht="11.25" x14ac:dyDescent="0.2">
      <c r="A68" s="487">
        <v>6</v>
      </c>
      <c r="B68" s="485" t="s">
        <v>49</v>
      </c>
      <c r="C68" s="751" t="s">
        <v>468</v>
      </c>
      <c r="D68" s="752"/>
      <c r="E68" s="749" t="s">
        <v>44</v>
      </c>
      <c r="F68" s="750"/>
      <c r="G68" s="267">
        <v>21</v>
      </c>
      <c r="H68" s="274"/>
      <c r="I68" s="763"/>
      <c r="J68" s="764"/>
      <c r="K68" s="764"/>
      <c r="L68" s="765"/>
      <c r="M68" s="756"/>
      <c r="N68" s="757"/>
      <c r="O68" s="269">
        <v>36</v>
      </c>
      <c r="P68" s="270" t="s">
        <v>85</v>
      </c>
      <c r="Q68" s="775" t="s">
        <v>228</v>
      </c>
      <c r="R68" s="776"/>
      <c r="S68" s="776"/>
      <c r="T68" s="777"/>
      <c r="U68" s="773" t="s">
        <v>467</v>
      </c>
      <c r="V68" s="774"/>
      <c r="W68" s="271">
        <v>51</v>
      </c>
      <c r="X68" s="272" t="s">
        <v>63</v>
      </c>
      <c r="Y68" s="477" t="s">
        <v>135</v>
      </c>
      <c r="Z68" s="478"/>
      <c r="AA68" s="478"/>
      <c r="AB68" s="479"/>
      <c r="AC68" s="790" t="s">
        <v>364</v>
      </c>
      <c r="AD68" s="791"/>
      <c r="AE68" s="792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</row>
    <row r="69" spans="1:94" s="171" customFormat="1" ht="11.25" x14ac:dyDescent="0.2">
      <c r="A69" s="487">
        <v>7</v>
      </c>
      <c r="B69" s="485" t="s">
        <v>50</v>
      </c>
      <c r="C69" s="751" t="s">
        <v>123</v>
      </c>
      <c r="D69" s="752"/>
      <c r="E69" s="749" t="s">
        <v>44</v>
      </c>
      <c r="F69" s="750"/>
      <c r="G69" s="267">
        <v>22</v>
      </c>
      <c r="H69" s="276"/>
      <c r="I69" s="554"/>
      <c r="J69" s="547"/>
      <c r="K69" s="547"/>
      <c r="L69" s="548"/>
      <c r="M69" s="756"/>
      <c r="N69" s="757"/>
      <c r="O69" s="269">
        <v>37</v>
      </c>
      <c r="P69" s="270" t="s">
        <v>86</v>
      </c>
      <c r="Q69" s="775" t="s">
        <v>154</v>
      </c>
      <c r="R69" s="776"/>
      <c r="S69" s="776"/>
      <c r="T69" s="777"/>
      <c r="U69" s="773" t="s">
        <v>467</v>
      </c>
      <c r="V69" s="774"/>
      <c r="W69" s="271">
        <v>52</v>
      </c>
      <c r="X69" s="272" t="s">
        <v>64</v>
      </c>
      <c r="Y69" s="477" t="s">
        <v>136</v>
      </c>
      <c r="Z69" s="478"/>
      <c r="AA69" s="478"/>
      <c r="AB69" s="479"/>
      <c r="AC69" s="790" t="s">
        <v>65</v>
      </c>
      <c r="AD69" s="791"/>
      <c r="AE69" s="792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</row>
    <row r="70" spans="1:94" s="171" customFormat="1" ht="11.25" x14ac:dyDescent="0.2">
      <c r="A70" s="487">
        <v>8</v>
      </c>
      <c r="B70" s="485" t="s">
        <v>51</v>
      </c>
      <c r="C70" s="751" t="s">
        <v>125</v>
      </c>
      <c r="D70" s="752"/>
      <c r="E70" s="749" t="s">
        <v>44</v>
      </c>
      <c r="F70" s="750"/>
      <c r="G70" s="267">
        <v>23</v>
      </c>
      <c r="H70" s="268" t="s">
        <v>93</v>
      </c>
      <c r="I70" s="546" t="s">
        <v>158</v>
      </c>
      <c r="J70" s="547"/>
      <c r="K70" s="547"/>
      <c r="L70" s="548"/>
      <c r="M70" s="756" t="s">
        <v>469</v>
      </c>
      <c r="N70" s="757"/>
      <c r="O70" s="269">
        <v>38</v>
      </c>
      <c r="P70" s="483" t="s">
        <v>504</v>
      </c>
      <c r="Q70" s="778" t="s">
        <v>511</v>
      </c>
      <c r="R70" s="779"/>
      <c r="S70" s="779"/>
      <c r="T70" s="780"/>
      <c r="U70" s="773" t="s">
        <v>467</v>
      </c>
      <c r="V70" s="774"/>
      <c r="W70" s="271">
        <v>53</v>
      </c>
      <c r="X70" s="272" t="s">
        <v>66</v>
      </c>
      <c r="Y70" s="477" t="s">
        <v>137</v>
      </c>
      <c r="Z70" s="478"/>
      <c r="AA70" s="478"/>
      <c r="AB70" s="479"/>
      <c r="AC70" s="790" t="s">
        <v>65</v>
      </c>
      <c r="AD70" s="791"/>
      <c r="AE70" s="792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</row>
    <row r="71" spans="1:94" s="171" customFormat="1" ht="11.25" x14ac:dyDescent="0.2">
      <c r="A71" s="487">
        <v>9</v>
      </c>
      <c r="B71" s="485" t="s">
        <v>53</v>
      </c>
      <c r="C71" s="543" t="s">
        <v>126</v>
      </c>
      <c r="D71" s="544"/>
      <c r="E71" s="749" t="s">
        <v>44</v>
      </c>
      <c r="F71" s="750"/>
      <c r="G71" s="267">
        <v>24</v>
      </c>
      <c r="H71" s="268" t="s">
        <v>190</v>
      </c>
      <c r="I71" s="546" t="s">
        <v>163</v>
      </c>
      <c r="J71" s="547"/>
      <c r="K71" s="547"/>
      <c r="L71" s="548"/>
      <c r="M71" s="756" t="s">
        <v>469</v>
      </c>
      <c r="N71" s="757"/>
      <c r="O71" s="269">
        <v>39</v>
      </c>
      <c r="P71" s="270" t="s">
        <v>88</v>
      </c>
      <c r="Q71" s="775" t="s">
        <v>206</v>
      </c>
      <c r="R71" s="776"/>
      <c r="S71" s="776"/>
      <c r="T71" s="777"/>
      <c r="U71" s="773" t="s">
        <v>458</v>
      </c>
      <c r="V71" s="774"/>
      <c r="W71" s="271">
        <v>54</v>
      </c>
      <c r="X71" s="272" t="s">
        <v>67</v>
      </c>
      <c r="Y71" s="477" t="s">
        <v>139</v>
      </c>
      <c r="Z71" s="478"/>
      <c r="AA71" s="478"/>
      <c r="AB71" s="479"/>
      <c r="AC71" s="790" t="s">
        <v>65</v>
      </c>
      <c r="AD71" s="791"/>
      <c r="AE71" s="792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</row>
    <row r="72" spans="1:94" s="171" customFormat="1" ht="11.25" x14ac:dyDescent="0.2">
      <c r="A72" s="487">
        <v>10</v>
      </c>
      <c r="B72" s="485" t="s">
        <v>54</v>
      </c>
      <c r="C72" s="543" t="s">
        <v>127</v>
      </c>
      <c r="D72" s="544"/>
      <c r="E72" s="749" t="s">
        <v>44</v>
      </c>
      <c r="F72" s="750"/>
      <c r="G72" s="267">
        <v>25</v>
      </c>
      <c r="H72" s="268" t="s">
        <v>94</v>
      </c>
      <c r="I72" s="546" t="s">
        <v>159</v>
      </c>
      <c r="J72" s="547"/>
      <c r="K72" s="547"/>
      <c r="L72" s="548"/>
      <c r="M72" s="756" t="s">
        <v>469</v>
      </c>
      <c r="N72" s="757"/>
      <c r="O72" s="269">
        <v>40</v>
      </c>
      <c r="P72" s="270" t="s">
        <v>426</v>
      </c>
      <c r="Q72" s="775" t="s">
        <v>416</v>
      </c>
      <c r="R72" s="776"/>
      <c r="S72" s="776"/>
      <c r="T72" s="777"/>
      <c r="U72" s="773" t="s">
        <v>458</v>
      </c>
      <c r="V72" s="774"/>
      <c r="W72" s="271">
        <v>55</v>
      </c>
      <c r="X72" s="272" t="s">
        <v>68</v>
      </c>
      <c r="Y72" s="477" t="s">
        <v>141</v>
      </c>
      <c r="Z72" s="478"/>
      <c r="AA72" s="478"/>
      <c r="AB72" s="479"/>
      <c r="AC72" s="790" t="s">
        <v>65</v>
      </c>
      <c r="AD72" s="791"/>
      <c r="AE72" s="792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</row>
    <row r="73" spans="1:94" s="171" customFormat="1" ht="11.25" x14ac:dyDescent="0.2">
      <c r="A73" s="487">
        <v>11</v>
      </c>
      <c r="B73" s="485" t="s">
        <v>55</v>
      </c>
      <c r="C73" s="751" t="s">
        <v>128</v>
      </c>
      <c r="D73" s="752"/>
      <c r="E73" s="749" t="s">
        <v>44</v>
      </c>
      <c r="F73" s="750"/>
      <c r="G73" s="267">
        <v>26</v>
      </c>
      <c r="H73" s="268" t="s">
        <v>95</v>
      </c>
      <c r="I73" s="546" t="s">
        <v>160</v>
      </c>
      <c r="J73" s="547"/>
      <c r="K73" s="547"/>
      <c r="L73" s="548"/>
      <c r="M73" s="756" t="s">
        <v>469</v>
      </c>
      <c r="N73" s="757"/>
      <c r="O73" s="269">
        <v>41</v>
      </c>
      <c r="P73" s="270" t="s">
        <v>90</v>
      </c>
      <c r="Q73" s="549" t="s">
        <v>155</v>
      </c>
      <c r="R73" s="550"/>
      <c r="S73" s="550"/>
      <c r="T73" s="551"/>
      <c r="U73" s="773" t="s">
        <v>89</v>
      </c>
      <c r="V73" s="774"/>
      <c r="W73" s="271">
        <v>56</v>
      </c>
      <c r="X73" s="272" t="s">
        <v>69</v>
      </c>
      <c r="Y73" s="477" t="s">
        <v>231</v>
      </c>
      <c r="Z73" s="478"/>
      <c r="AA73" s="478"/>
      <c r="AB73" s="479"/>
      <c r="AC73" s="790" t="s">
        <v>65</v>
      </c>
      <c r="AD73" s="791"/>
      <c r="AE73" s="792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</row>
    <row r="74" spans="1:94" s="171" customFormat="1" ht="11.25" x14ac:dyDescent="0.2">
      <c r="A74" s="487">
        <v>12</v>
      </c>
      <c r="B74" s="485" t="s">
        <v>236</v>
      </c>
      <c r="C74" s="751" t="s">
        <v>237</v>
      </c>
      <c r="D74" s="752"/>
      <c r="E74" s="749" t="s">
        <v>471</v>
      </c>
      <c r="F74" s="750"/>
      <c r="G74" s="267">
        <v>27</v>
      </c>
      <c r="H74" s="268" t="s">
        <v>96</v>
      </c>
      <c r="I74" s="546" t="s">
        <v>161</v>
      </c>
      <c r="J74" s="547"/>
      <c r="K74" s="547"/>
      <c r="L74" s="548"/>
      <c r="M74" s="756" t="s">
        <v>469</v>
      </c>
      <c r="N74" s="757"/>
      <c r="O74" s="269">
        <v>42</v>
      </c>
      <c r="P74" s="270" t="s">
        <v>91</v>
      </c>
      <c r="Q74" s="549" t="s">
        <v>156</v>
      </c>
      <c r="R74" s="550"/>
      <c r="S74" s="550"/>
      <c r="T74" s="551"/>
      <c r="U74" s="773" t="s">
        <v>89</v>
      </c>
      <c r="V74" s="774"/>
      <c r="W74" s="271">
        <v>57</v>
      </c>
      <c r="X74" s="272" t="s">
        <v>70</v>
      </c>
      <c r="Y74" s="477" t="s">
        <v>144</v>
      </c>
      <c r="Z74" s="478"/>
      <c r="AA74" s="478"/>
      <c r="AB74" s="479"/>
      <c r="AC74" s="790" t="s">
        <v>470</v>
      </c>
      <c r="AD74" s="791"/>
      <c r="AE74" s="792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</row>
    <row r="75" spans="1:94" s="171" customFormat="1" ht="11.25" x14ac:dyDescent="0.2">
      <c r="A75" s="487">
        <v>13</v>
      </c>
      <c r="B75" s="485" t="s">
        <v>75</v>
      </c>
      <c r="C75" s="751" t="s">
        <v>149</v>
      </c>
      <c r="D75" s="752"/>
      <c r="E75" s="749" t="s">
        <v>29</v>
      </c>
      <c r="F75" s="750"/>
      <c r="G75" s="267">
        <v>28</v>
      </c>
      <c r="H75" s="274" t="s">
        <v>97</v>
      </c>
      <c r="I75" s="546" t="s">
        <v>162</v>
      </c>
      <c r="J75" s="546"/>
      <c r="K75" s="546"/>
      <c r="L75" s="546"/>
      <c r="M75" s="756" t="s">
        <v>469</v>
      </c>
      <c r="N75" s="757"/>
      <c r="O75" s="269">
        <v>43</v>
      </c>
      <c r="P75" s="270" t="s">
        <v>92</v>
      </c>
      <c r="Q75" s="549" t="s">
        <v>157</v>
      </c>
      <c r="R75" s="550"/>
      <c r="S75" s="550"/>
      <c r="T75" s="551"/>
      <c r="U75" s="773" t="s">
        <v>89</v>
      </c>
      <c r="V75" s="774"/>
      <c r="W75" s="271">
        <v>58</v>
      </c>
      <c r="X75" s="272" t="s">
        <v>72</v>
      </c>
      <c r="Y75" s="477" t="s">
        <v>146</v>
      </c>
      <c r="Z75" s="478"/>
      <c r="AA75" s="478"/>
      <c r="AB75" s="479"/>
      <c r="AC75" s="790" t="s">
        <v>470</v>
      </c>
      <c r="AD75" s="791"/>
      <c r="AE75" s="792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</row>
    <row r="76" spans="1:94" s="171" customFormat="1" ht="11.25" x14ac:dyDescent="0.2">
      <c r="A76" s="488">
        <v>14</v>
      </c>
      <c r="B76" s="485" t="s">
        <v>76</v>
      </c>
      <c r="C76" s="751" t="s">
        <v>150</v>
      </c>
      <c r="D76" s="752"/>
      <c r="E76" s="749" t="s">
        <v>29</v>
      </c>
      <c r="F76" s="750"/>
      <c r="G76" s="273">
        <v>29</v>
      </c>
      <c r="H76" s="268" t="s">
        <v>100</v>
      </c>
      <c r="I76" s="763" t="s">
        <v>195</v>
      </c>
      <c r="J76" s="764"/>
      <c r="K76" s="764"/>
      <c r="L76" s="765"/>
      <c r="M76" s="756" t="s">
        <v>520</v>
      </c>
      <c r="N76" s="757"/>
      <c r="O76" s="275">
        <v>44</v>
      </c>
      <c r="P76" s="270" t="s">
        <v>220</v>
      </c>
      <c r="Q76" s="549" t="s">
        <v>230</v>
      </c>
      <c r="R76" s="550"/>
      <c r="S76" s="550"/>
      <c r="T76" s="551"/>
      <c r="U76" s="773" t="s">
        <v>89</v>
      </c>
      <c r="V76" s="774"/>
      <c r="W76" s="271">
        <v>59</v>
      </c>
      <c r="X76" s="272" t="s">
        <v>73</v>
      </c>
      <c r="Y76" s="477" t="s">
        <v>145</v>
      </c>
      <c r="Z76" s="478"/>
      <c r="AA76" s="478"/>
      <c r="AB76" s="479"/>
      <c r="AC76" s="790" t="s">
        <v>470</v>
      </c>
      <c r="AD76" s="791"/>
      <c r="AE76" s="792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</row>
    <row r="77" spans="1:94" s="171" customFormat="1" ht="12" thickBot="1" x14ac:dyDescent="0.25">
      <c r="A77" s="489">
        <v>15</v>
      </c>
      <c r="B77" s="490" t="s">
        <v>77</v>
      </c>
      <c r="C77" s="769" t="s">
        <v>151</v>
      </c>
      <c r="D77" s="770"/>
      <c r="E77" s="771" t="s">
        <v>29</v>
      </c>
      <c r="F77" s="772"/>
      <c r="G77" s="491">
        <v>30</v>
      </c>
      <c r="H77" s="492" t="s">
        <v>425</v>
      </c>
      <c r="I77" s="766" t="s">
        <v>517</v>
      </c>
      <c r="J77" s="767"/>
      <c r="K77" s="767"/>
      <c r="L77" s="768"/>
      <c r="M77" s="761" t="s">
        <v>520</v>
      </c>
      <c r="N77" s="762"/>
      <c r="O77" s="493">
        <v>45</v>
      </c>
      <c r="P77" s="494" t="s">
        <v>57</v>
      </c>
      <c r="Q77" s="495" t="s">
        <v>129</v>
      </c>
      <c r="R77" s="496"/>
      <c r="S77" s="496"/>
      <c r="T77" s="497"/>
      <c r="U77" s="799" t="s">
        <v>364</v>
      </c>
      <c r="V77" s="800"/>
      <c r="W77" s="498">
        <v>60</v>
      </c>
      <c r="X77" s="499" t="s">
        <v>74</v>
      </c>
      <c r="Y77" s="500" t="s">
        <v>147</v>
      </c>
      <c r="Z77" s="501"/>
      <c r="AA77" s="501"/>
      <c r="AB77" s="502"/>
      <c r="AC77" s="782" t="s">
        <v>470</v>
      </c>
      <c r="AD77" s="783"/>
      <c r="AE77" s="784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</row>
    <row r="78" spans="1:94" ht="15.75" customHeight="1" thickTop="1" x14ac:dyDescent="0.25">
      <c r="W78" s="781"/>
      <c r="X78" s="781"/>
      <c r="Y78" s="781"/>
      <c r="Z78" s="781"/>
      <c r="AA78" s="781"/>
      <c r="AB78" s="781"/>
      <c r="AC78" s="781"/>
      <c r="AD78" s="781"/>
      <c r="AE78" s="781"/>
    </row>
    <row r="79" spans="1:94" s="91" customFormat="1" ht="11.25" x14ac:dyDescent="0.2">
      <c r="C79" s="91" t="s">
        <v>14</v>
      </c>
      <c r="D79" s="91">
        <f>COUNTIF(D7:D60,"Tt3")</f>
        <v>0</v>
      </c>
      <c r="E79" s="91">
        <f>COUNTIF(E7:E60,"Tt4")</f>
        <v>0</v>
      </c>
      <c r="F79" s="91">
        <f>COUNTIF(F7:F60,"Tt6")</f>
        <v>0</v>
      </c>
      <c r="G79" s="91">
        <f>COUNTIF(G7:G60,"Tt9")</f>
        <v>0</v>
      </c>
      <c r="H79" s="91">
        <f>COUNTIF(H7:H60,"TT1")</f>
        <v>0</v>
      </c>
      <c r="I79" s="91">
        <f>COUNTIF(I7:I60,"Tt7")</f>
        <v>0</v>
      </c>
      <c r="J79" s="91">
        <f>COUNTIF(J7:J60,"TT5")</f>
        <v>0</v>
      </c>
      <c r="K79" s="91">
        <f>COUNTIF(K7:K60,"TT9")</f>
        <v>0</v>
      </c>
      <c r="L79" s="91">
        <f>COUNTIF(L7:L60,"TT2")</f>
        <v>0</v>
      </c>
      <c r="M79" s="91">
        <f>COUNTIF(M7:M60,"TT5")</f>
        <v>0</v>
      </c>
      <c r="N79" s="91">
        <f>COUNTIF(N7:N60,"T3")</f>
        <v>0</v>
      </c>
      <c r="O79" s="91">
        <f>COUNTIF(O7:O60,"Tt6")</f>
        <v>0</v>
      </c>
      <c r="P79" s="100">
        <f>COUNTIF(P7:P60,"TT1")</f>
        <v>6</v>
      </c>
      <c r="Q79" s="91">
        <f>COUNTIF(Q7:Q60,"T4")</f>
        <v>0</v>
      </c>
      <c r="R79" s="91">
        <f>COUNTIF(R7:R60,"T5")</f>
        <v>0</v>
      </c>
      <c r="S79" s="91">
        <f>COUNTIF(S7:S60,"T4")</f>
        <v>4</v>
      </c>
      <c r="T79" s="91">
        <f>COUNTIF(T7:T60,"T2")</f>
        <v>0</v>
      </c>
      <c r="U79" s="91">
        <f>COUNTIF(U7:U60,"T2")</f>
        <v>0</v>
      </c>
      <c r="V79" s="91">
        <f>COUNTIF(V7:V60,"Tt2")</f>
        <v>4</v>
      </c>
      <c r="W79" s="91">
        <f>COUNTIF(W7:W60,"T5")</f>
        <v>5</v>
      </c>
      <c r="X79" s="91">
        <f>COUNTIF(X7:X60,"T2")</f>
        <v>0</v>
      </c>
      <c r="Y79" s="91">
        <f>COUNTIF(Y7:Y60,"Tt3")</f>
        <v>0</v>
      </c>
      <c r="Z79" s="91">
        <f>COUNTIF(Z7:Z60,"T4")</f>
        <v>4</v>
      </c>
      <c r="AA79" s="91">
        <f>COUNTIF(AA7:AA60,"Tt4")</f>
        <v>0</v>
      </c>
      <c r="AB79" s="91">
        <f>COUNTIF(AB7:AB60,"T3")</f>
        <v>0</v>
      </c>
      <c r="AC79" s="91">
        <f>COUNTIF(AC7:AC60,"Tt6")</f>
        <v>0</v>
      </c>
      <c r="AE79" s="91">
        <f>COUNTIF(AE7:AE60,"Tt7")</f>
        <v>0</v>
      </c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</row>
    <row r="80" spans="1:94" s="91" customFormat="1" ht="11.25" x14ac:dyDescent="0.2">
      <c r="C80" s="91" t="s">
        <v>178</v>
      </c>
      <c r="D80" s="91">
        <f>COUNTIF(D7:D60,"LC2")</f>
        <v>2</v>
      </c>
      <c r="E80" s="91">
        <f>COUNTIF(E7:E60,"LC7")</f>
        <v>0</v>
      </c>
      <c r="F80" s="100">
        <f>COUNTIF(F7:F60,"LC4")</f>
        <v>0</v>
      </c>
      <c r="H80" s="100">
        <f>COUNTIF(H7:H60,"LC5")</f>
        <v>0</v>
      </c>
      <c r="I80" s="100">
        <f>COUNTIF(I7:I60,"LC2")</f>
        <v>4</v>
      </c>
      <c r="J80" s="91">
        <f>COUNTIF(J7:J60,"LC7")</f>
        <v>0</v>
      </c>
      <c r="K80" s="100">
        <f>COUNTIF(K7:K60,"LC4")</f>
        <v>0</v>
      </c>
      <c r="L80" s="100">
        <f>COUNTIF(L7:L60,"LC8")</f>
        <v>0</v>
      </c>
      <c r="M80" s="91">
        <f>COUNTIF(M7:M60,"LC8")</f>
        <v>3</v>
      </c>
      <c r="N80" s="100">
        <f>COUNTIF(N7:N60,"LC3")</f>
        <v>0</v>
      </c>
      <c r="O80" s="100">
        <f>COUNTIF(O7:O60,"LC3")</f>
        <v>0</v>
      </c>
      <c r="P80" s="100">
        <f>COUNTIF(P7:P60,"LC2")</f>
        <v>0</v>
      </c>
      <c r="Q80" s="100">
        <f>COUNTIF(Q7:Q60,"LC2")</f>
        <v>0</v>
      </c>
      <c r="R80" s="100">
        <f>COUNTIF(R7:R60,"LC4")</f>
        <v>0</v>
      </c>
      <c r="S80" s="100">
        <f>COUNTIF(S7:S60,"LC4")</f>
        <v>0</v>
      </c>
      <c r="T80" s="100">
        <f>COUNTIF(T7:T60,"LC5")</f>
        <v>0</v>
      </c>
      <c r="U80" s="100">
        <f>COUNTIF(U7:U60,"LC5")</f>
        <v>0</v>
      </c>
      <c r="V80" s="91">
        <f>COUNTIF(V7:V60,"LC6")</f>
        <v>2</v>
      </c>
      <c r="W80" s="91">
        <f>COUNTIF(W7:W60,"LC6")</f>
        <v>0</v>
      </c>
      <c r="X80" s="91">
        <f>COUNTIF(X7:X60,"LC8")</f>
        <v>0</v>
      </c>
      <c r="Y80" s="91">
        <f>COUNTIF(Y7:Y60,"LC8")</f>
        <v>0</v>
      </c>
      <c r="Z80" s="100">
        <f>COUNTIF(Z7:Z60,"LC6")</f>
        <v>0</v>
      </c>
      <c r="AA80" s="100">
        <f>COUNTIF(AA7:AA60,"Lc3")</f>
        <v>0</v>
      </c>
      <c r="AB80" s="91">
        <f>COUNTIF(AB7:AB60,"Lc3")</f>
        <v>0</v>
      </c>
      <c r="AC80" s="91">
        <f>COUNTIF(AC7:AC60,"Lc7")</f>
        <v>5</v>
      </c>
      <c r="AE80" s="91">
        <f>COUNTIF(AE7:AE60,"Lc7")</f>
        <v>4</v>
      </c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</row>
    <row r="81" spans="3:94" s="91" customFormat="1" ht="11.25" x14ac:dyDescent="0.2">
      <c r="C81" s="91" t="s">
        <v>26</v>
      </c>
      <c r="D81" s="91">
        <f>COUNTIF(D7:D60,"H1")</f>
        <v>0</v>
      </c>
      <c r="E81" s="91">
        <f>COUNTIF(E7:E60,"H3")</f>
        <v>0</v>
      </c>
      <c r="F81" s="91">
        <f>COUNTIF(F7:F60,"H4")</f>
        <v>0</v>
      </c>
      <c r="G81" s="91">
        <f>COUNTIF(G7:G60,"H1")</f>
        <v>0</v>
      </c>
      <c r="L81" s="91">
        <f>COUNTIF(L7:L60,"H2")</f>
        <v>0</v>
      </c>
      <c r="M81" s="91">
        <f>COUNTIF(M7:M60,"H4")</f>
        <v>0</v>
      </c>
      <c r="N81" s="91">
        <f>COUNTIF(N7:N60,"H4")</f>
        <v>0</v>
      </c>
      <c r="O81" s="91">
        <f>COUNTIF(O7:O60,"H5")</f>
        <v>0</v>
      </c>
      <c r="P81" s="91">
        <f>COUNTIF(P7:P60,"H5")</f>
        <v>0</v>
      </c>
      <c r="Q81" s="91">
        <f>COUNTIF(Q7:Q60,"H3")</f>
        <v>3</v>
      </c>
      <c r="R81" s="91">
        <f>COUNTIF(R7:R60,"H2")</f>
        <v>0</v>
      </c>
      <c r="S81" s="91">
        <f>COUNTIF(S7:S60,"H5")</f>
        <v>0</v>
      </c>
      <c r="T81" s="91">
        <f>COUNTIF(T7:T60,"H5")</f>
        <v>0</v>
      </c>
      <c r="U81" s="91">
        <f>COUNTIF(U7:U60,"H4")</f>
        <v>0</v>
      </c>
      <c r="V81" s="91">
        <f>COUNTIF(V7:V60,"H2")</f>
        <v>4</v>
      </c>
      <c r="W81" s="91">
        <f>COUNTIF(W7:W60,"H5")</f>
        <v>3</v>
      </c>
      <c r="X81" s="91">
        <f>COUNTIF(X7:X60,"H3")</f>
        <v>0</v>
      </c>
      <c r="Y81" s="91">
        <f>COUNTIF(Y7:Y60,"H3")</f>
        <v>0</v>
      </c>
      <c r="Z81" s="91">
        <f>COUNTIF(Z7:Z60,"H3")</f>
        <v>0</v>
      </c>
      <c r="AA81" s="91">
        <f>COUNTIF(AA7:AA60,"H3")</f>
        <v>0</v>
      </c>
      <c r="AB81" s="91">
        <f>COUNTIF(AB7:AB60,"H5")</f>
        <v>0</v>
      </c>
      <c r="AC81" s="91">
        <f>COUNTIF(AC7:AC60,"H2")</f>
        <v>0</v>
      </c>
      <c r="AE81" s="91">
        <f>COUNTIF(AE7:AE60,"H2")</f>
        <v>0</v>
      </c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</row>
    <row r="82" spans="3:94" s="91" customFormat="1" ht="11.25" x14ac:dyDescent="0.2">
      <c r="C82" s="91" t="s">
        <v>179</v>
      </c>
      <c r="D82" s="91">
        <f>COUNTIF(D7:D60,"sn2")</f>
        <v>2</v>
      </c>
      <c r="E82" s="91">
        <f>COUNTIF(E7:E60,"sn4")</f>
        <v>0</v>
      </c>
      <c r="F82" s="91">
        <f>COUNTIF(F7:F60,"sn4")</f>
        <v>0</v>
      </c>
      <c r="L82" s="91">
        <f>COUNTIF(L7:L60,"sn3")</f>
        <v>0</v>
      </c>
      <c r="M82" s="91">
        <f>COUNTIF(M7:M60,"sn4")</f>
        <v>0</v>
      </c>
      <c r="N82" s="91">
        <f>COUNTIF(N7:N60,"sn4")</f>
        <v>0</v>
      </c>
      <c r="O82" s="91">
        <f>COUNTIF(O7:O60,"sn4")</f>
        <v>0</v>
      </c>
      <c r="P82" s="91">
        <f>COUNTIF(P7:P60,"sn2")</f>
        <v>0</v>
      </c>
      <c r="Q82" s="91">
        <f>COUNTIF(Q7:Q60,"sn4")</f>
        <v>0</v>
      </c>
      <c r="R82" s="91">
        <f>COUNTIF(R7:R60,"sn2")</f>
        <v>0</v>
      </c>
      <c r="S82" s="100">
        <f>COUNTIF(S7:S60,"sn2")</f>
        <v>0</v>
      </c>
      <c r="T82" s="100">
        <f>COUNTIF(T7:T60,"sn3")</f>
        <v>3</v>
      </c>
      <c r="U82" s="100">
        <f>COUNTIF(U7:U60,"sn4")</f>
        <v>3</v>
      </c>
      <c r="V82" s="91">
        <f>COUNTIF(V7:V60,"sn1")</f>
        <v>0</v>
      </c>
      <c r="W82" s="91">
        <f>COUNTIF(W7:W60,"sn3")</f>
        <v>0</v>
      </c>
      <c r="X82" s="91">
        <f>COUNTIF(X7:X60,"sn3")</f>
        <v>0</v>
      </c>
      <c r="Y82" s="91">
        <f>COUNTIF(Y7:Y60,"sn2")</f>
        <v>0</v>
      </c>
      <c r="Z82" s="91">
        <f>COUNTIF(Z7:Z60,"sn3")</f>
        <v>0</v>
      </c>
      <c r="AA82" s="91">
        <f>COUNTIF(AA7:AA60,"sn4")</f>
        <v>0</v>
      </c>
      <c r="AB82" s="91">
        <f>COUNTIF(AB7:AB60,"sn4")</f>
        <v>0</v>
      </c>
      <c r="AC82" s="91">
        <f>COUNTIF(AC7:AC60,"sn2")</f>
        <v>0</v>
      </c>
      <c r="AE82" s="91">
        <f>COUNTIF(AE7:AE60,"sn2")</f>
        <v>0</v>
      </c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</row>
    <row r="83" spans="3:94" s="91" customFormat="1" ht="11.25" x14ac:dyDescent="0.2">
      <c r="C83" s="91" t="s">
        <v>22</v>
      </c>
      <c r="D83" s="91">
        <f>COUNTIF(D7:D60,"tn3")</f>
        <v>0</v>
      </c>
      <c r="E83" s="91">
        <f>COUNTIF(E7:E60,"tn4")</f>
        <v>0</v>
      </c>
      <c r="G83" s="91">
        <f>COUNTIF(G7:G60,"tn4")</f>
        <v>0</v>
      </c>
      <c r="H83" s="91">
        <f>COUNTIF(H7:H60,"tn4")</f>
        <v>0</v>
      </c>
      <c r="I83" s="91">
        <f>COUNTIF(I7:I60,"tn4")</f>
        <v>0</v>
      </c>
      <c r="J83" s="91">
        <f>COUNTIF(J7:J60,"tn3")</f>
        <v>0</v>
      </c>
      <c r="L83" s="186">
        <f>COUNTIF(L7:L60,"tt3")</f>
        <v>0</v>
      </c>
      <c r="M83" s="91">
        <f>COUNTIF(M7:M60,"tT2")</f>
        <v>0</v>
      </c>
      <c r="N83" s="91">
        <f>COUNTIF(N7:N31,"Tt5")</f>
        <v>0</v>
      </c>
      <c r="P83" s="100">
        <f>COUNTIF(P7:P60,"TT6")</f>
        <v>0</v>
      </c>
      <c r="Q83" s="91">
        <f>COUNTIF(Q7:Q60,"TN4")</f>
        <v>0</v>
      </c>
      <c r="R83" s="91">
        <f>COUNTIF(R7:R60,"TT3")</f>
        <v>0</v>
      </c>
      <c r="S83" s="91">
        <f>COUNTIF(S7:S60,"Tt1")</f>
        <v>0</v>
      </c>
      <c r="T83" s="91">
        <f>COUNTIF(T7:T60,"tT9")</f>
        <v>0</v>
      </c>
      <c r="U83" s="91">
        <f>COUNTIF(U7:U60,"Tt7")</f>
        <v>0</v>
      </c>
      <c r="V83" s="91">
        <f>COUNTIF(V7:V60,"TN3")</f>
        <v>0</v>
      </c>
      <c r="W83" s="91">
        <f>COUNTIF(W7:W60,"tn3")</f>
        <v>0</v>
      </c>
      <c r="X83" s="91">
        <f>COUNTIF(X7:X60,"tn4")</f>
        <v>0</v>
      </c>
      <c r="Y83" s="91">
        <f>COUNTIF(Y7:Y60,"tn4")</f>
        <v>2</v>
      </c>
      <c r="Z83" s="91">
        <f>COUNTIF(Z7:Z60,"tn3")</f>
        <v>0</v>
      </c>
      <c r="AA83" s="91">
        <f>COUNTIF(AA7:AA60,"tn3")</f>
        <v>0</v>
      </c>
      <c r="AB83" s="91">
        <f>COUNTIF(AB7:AB60,"tn3")</f>
        <v>0</v>
      </c>
      <c r="AC83" s="91">
        <f>COUNTIF(AC7:AC60,"tn3")</f>
        <v>0</v>
      </c>
      <c r="AE83" s="91">
        <f>COUNTIF(AE7:AE60,"tn3")</f>
        <v>0</v>
      </c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</row>
    <row r="84" spans="3:94" s="91" customFormat="1" ht="11.25" x14ac:dyDescent="0.2">
      <c r="C84" s="91" t="s">
        <v>28</v>
      </c>
      <c r="G84" s="91">
        <f>COUNTIF(G7:G60,"lc7")</f>
        <v>0</v>
      </c>
      <c r="H84" s="100">
        <f>COUNTIF(H7:H60,"sn")</f>
        <v>0</v>
      </c>
      <c r="I84" s="91">
        <f>COUNTIF(I7:I60,"sn")</f>
        <v>0</v>
      </c>
      <c r="J84" s="91">
        <f>COUNTIF(J7:J60,"sn")</f>
        <v>0</v>
      </c>
      <c r="K84" s="91">
        <f>COUNTIF(K7:K60,"sn")</f>
        <v>0</v>
      </c>
      <c r="L84" s="100">
        <f>COUNTIF(L7:L60,"sn")</f>
        <v>0</v>
      </c>
      <c r="M84" s="91">
        <f>COUNTIF(M7:M60,"lc7")</f>
        <v>0</v>
      </c>
      <c r="N84" s="100">
        <f>COUNTIF(N7:N60,"lc7")</f>
        <v>0</v>
      </c>
      <c r="O84" s="100">
        <f>COUNTIF(O7:O60,"lc4")</f>
        <v>3</v>
      </c>
      <c r="P84" s="100">
        <f>COUNTIF(P7:P60,"lc6")</f>
        <v>0</v>
      </c>
      <c r="Q84" s="100">
        <f>COUNTIF(Q7:Q60,"lc4")</f>
        <v>0</v>
      </c>
      <c r="R84" s="91">
        <f>COUNTIF(R7:R60,"lS834")</f>
        <v>0</v>
      </c>
      <c r="S84" s="91">
        <f>COUNTIF(S7:S60,"lc4")</f>
        <v>0</v>
      </c>
      <c r="T84" s="91">
        <f>COUNTIF(T7:T60,"lc4")</f>
        <v>0</v>
      </c>
      <c r="U84" s="91">
        <f>COUNTIF(U7:U60,"lc6")</f>
        <v>0</v>
      </c>
      <c r="V84" s="91">
        <f>COUNTIF(V7:V60,"lc4")</f>
        <v>0</v>
      </c>
      <c r="W84" s="91">
        <f>COUNTIF(W7:W60,"lc4")</f>
        <v>0</v>
      </c>
      <c r="X84" s="91">
        <f>COUNTIF(X7:X60,"LC6")</f>
        <v>4</v>
      </c>
      <c r="Y84" s="91">
        <f>COUNTIF(Y7:Y60,"LC7")</f>
        <v>2</v>
      </c>
      <c r="Z84" s="100">
        <f>COUNTIF(Z7:Z60,"LC7")</f>
        <v>0</v>
      </c>
      <c r="AA84" s="100">
        <f>COUNTIF(AA7:AA60,"LC7")</f>
        <v>5</v>
      </c>
      <c r="AB84" s="91">
        <f>COUNTIF(AB7:AB60,"LC7")</f>
        <v>0</v>
      </c>
      <c r="AC84" s="91">
        <f>COUNTIF(AC7:AC60,"LADC7")</f>
        <v>0</v>
      </c>
      <c r="AE84" s="91">
        <f>COUNTIF(AE7:AE60,"LC7")</f>
        <v>4</v>
      </c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</row>
    <row r="85" spans="3:94" s="91" customFormat="1" ht="11.25" x14ac:dyDescent="0.2">
      <c r="C85" s="91" t="s">
        <v>186</v>
      </c>
      <c r="D85" s="100">
        <f>COUNTIF(D7:D60,"v3")</f>
        <v>0</v>
      </c>
      <c r="E85" s="91">
        <f>COUNTIF(E7:E60,"v2")</f>
        <v>0</v>
      </c>
      <c r="F85" s="91">
        <f>COUNTIF(F7:F60,"v9")</f>
        <v>0</v>
      </c>
      <c r="G85" s="91">
        <f>COUNTIF(G7:G60,"v9")</f>
        <v>0</v>
      </c>
      <c r="H85" s="91">
        <f>COUNTIF(H7:H60,"v9")</f>
        <v>0</v>
      </c>
      <c r="I85" s="91">
        <f>COUNTIF(I7:I60,"v2")</f>
        <v>0</v>
      </c>
      <c r="J85" s="91">
        <f>COUNTIF(J7:J60,"v3")</f>
        <v>0</v>
      </c>
      <c r="K85" s="91">
        <f>COUNTIF(K7:K60,"v2")</f>
        <v>0</v>
      </c>
      <c r="L85" s="91">
        <f>COUNTIF(L7:L60,"v8")</f>
        <v>0</v>
      </c>
      <c r="M85" s="91">
        <f>COUNTIF(M7:M60,"v6")</f>
        <v>0</v>
      </c>
      <c r="N85" s="91">
        <f>COUNTIF(N7:N60,"v8")</f>
        <v>0</v>
      </c>
      <c r="O85" s="91">
        <f>COUNTIF(O7:O60,"v6")</f>
        <v>3</v>
      </c>
      <c r="P85" s="91">
        <f>COUNTIF(P7:P60,"v6")</f>
        <v>0</v>
      </c>
      <c r="Q85" s="91">
        <f>COUNTIF(Q7:Q60,"v5")</f>
        <v>0</v>
      </c>
      <c r="R85" s="91">
        <f>COUNTIF(R7:R60,"v9")</f>
        <v>0</v>
      </c>
      <c r="S85" s="91">
        <f>COUNTIF(S7:S60,"v7")</f>
        <v>0</v>
      </c>
      <c r="T85" s="91">
        <f>COUNTIF(T7:T60,"v5")</f>
        <v>0</v>
      </c>
      <c r="U85" s="91">
        <f>COUNTIF(U7:U60,"v9")</f>
        <v>0</v>
      </c>
      <c r="V85" s="91">
        <f>COUNTIF(V7:V60,"v3")</f>
        <v>4</v>
      </c>
      <c r="W85" s="91">
        <f>COUNTIF(W7:W60,"v7")</f>
        <v>0</v>
      </c>
      <c r="X85" s="91">
        <f>COUNTIF(X7:X60,"v2")</f>
        <v>0</v>
      </c>
      <c r="Y85" s="91">
        <f>COUNTIF(Y7:Y60,"v7")+COUNTIF(Y7:Y60,"v4")</f>
        <v>0</v>
      </c>
      <c r="Z85" s="91">
        <f>COUNTIF(Z7:Z60,"v6")</f>
        <v>0</v>
      </c>
      <c r="AA85" s="91">
        <f>COUNTIF(AA7:AA60,"v1")</f>
        <v>0</v>
      </c>
      <c r="AB85" s="91">
        <f>COUNTIF(AB7:AB60,"v8")</f>
        <v>0</v>
      </c>
      <c r="AC85" s="91">
        <f>COUNTIF(AC7:AC60,"v3")</f>
        <v>0</v>
      </c>
      <c r="AE85" s="91">
        <f>COUNTIF(AE7:AE60,"v5")</f>
        <v>0</v>
      </c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</row>
    <row r="86" spans="3:94" s="91" customFormat="1" ht="11.25" x14ac:dyDescent="0.2">
      <c r="C86" s="91" t="s">
        <v>187</v>
      </c>
      <c r="D86" s="91">
        <f>COUNTIF(D7:D60,"sg1")</f>
        <v>0</v>
      </c>
      <c r="E86" s="91">
        <f>COUNTIF(E7:E60,"sg3")</f>
        <v>3</v>
      </c>
      <c r="F86" s="91">
        <f>COUNTIF(F7:F60,"sg1")</f>
        <v>0</v>
      </c>
      <c r="G86" s="91">
        <f>COUNTIF(G7:G60,"sg2")</f>
        <v>0</v>
      </c>
      <c r="H86" s="91">
        <f>COUNTIF(H7:H60,"sg2")</f>
        <v>0</v>
      </c>
      <c r="I86" s="91">
        <f>COUNTIF(I7:I60,"sg3")</f>
        <v>0</v>
      </c>
      <c r="J86" s="91">
        <f>COUNTIF(J7:J60,"sg3")</f>
        <v>2</v>
      </c>
      <c r="K86" s="91">
        <f>COUNTIF(K7:K60,"sg2")</f>
        <v>0</v>
      </c>
      <c r="L86" s="91">
        <f>COUNTIF(L7:L60,"sg3")</f>
        <v>0</v>
      </c>
      <c r="M86" s="91">
        <f>COUNTIF(M7:M60,"sg1")</f>
        <v>0</v>
      </c>
      <c r="N86" s="91">
        <f>COUNTIF(N7:N60,"sg1")</f>
        <v>0</v>
      </c>
      <c r="O86" s="91">
        <f>COUNTIF(O7:O60,"sg1")</f>
        <v>1</v>
      </c>
      <c r="P86" s="91">
        <f>COUNTIF(P7:P60,"sg3")</f>
        <v>0</v>
      </c>
      <c r="Q86" s="91">
        <f>COUNTIF(Q7:Q60,"sg1")</f>
        <v>0</v>
      </c>
      <c r="R86" s="91">
        <f>COUNTIF(R7:R60,"sg3")</f>
        <v>0</v>
      </c>
      <c r="S86" s="91">
        <f>COUNTIF(S7:S60,"sg3")</f>
        <v>0</v>
      </c>
      <c r="T86" s="91">
        <f>COUNTIF(T7:T60,"sg3")</f>
        <v>0</v>
      </c>
      <c r="U86" s="91">
        <f>COUNTIF(U7:U60,"sg3")</f>
        <v>0</v>
      </c>
      <c r="V86" s="91">
        <f>COUNTIF(V7:V60,"sg2")</f>
        <v>2</v>
      </c>
      <c r="W86" s="91">
        <f>COUNTIF(W7:W60,"sg1")</f>
        <v>2</v>
      </c>
      <c r="X86" s="91">
        <f>COUNTIF(X7:X60,"sg3")</f>
        <v>2</v>
      </c>
      <c r="Y86" s="91">
        <f>COUNTIF(Y7:Y60,"sg2")</f>
        <v>0</v>
      </c>
      <c r="Z86" s="91">
        <f>COUNTIF(Z7:Z60,"sg1")</f>
        <v>0</v>
      </c>
      <c r="AA86" s="91">
        <f>COUNTIF(AA7:AA60,"sg2")</f>
        <v>0</v>
      </c>
      <c r="AB86" s="91">
        <f>COUNTIF(AB7:AB60,"sg1")</f>
        <v>0</v>
      </c>
      <c r="AC86" s="91">
        <f>COUNTIF(AC7:AC60,"sg3")</f>
        <v>0</v>
      </c>
      <c r="AE86" s="91">
        <f>COUNTIF(AE7:AE60,"sg3")</f>
        <v>0</v>
      </c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</row>
    <row r="87" spans="3:94" s="91" customFormat="1" ht="11.25" x14ac:dyDescent="0.2">
      <c r="C87" s="91" t="s">
        <v>32</v>
      </c>
      <c r="H87" s="100">
        <f>COUNTIF(H7:H60,"d3")</f>
        <v>0</v>
      </c>
      <c r="I87" s="100">
        <f>COUNTIF(I7:I60,"d3")</f>
        <v>0</v>
      </c>
      <c r="J87" s="100">
        <f>COUNTIF(J7:J60,"d2")</f>
        <v>0</v>
      </c>
      <c r="K87" s="91">
        <f>COUNTIF(K7:K60,"d2")</f>
        <v>0</v>
      </c>
      <c r="L87" s="91">
        <f t="shared" ref="L87:Q87" si="136">COUNTIF(L7:L60,"d4")</f>
        <v>3</v>
      </c>
      <c r="M87" s="91">
        <f t="shared" si="136"/>
        <v>0</v>
      </c>
      <c r="N87" s="91">
        <f t="shared" si="136"/>
        <v>0</v>
      </c>
      <c r="O87" s="91">
        <f t="shared" si="136"/>
        <v>3</v>
      </c>
      <c r="P87" s="91">
        <f t="shared" si="136"/>
        <v>0</v>
      </c>
      <c r="Q87" s="91">
        <f t="shared" si="136"/>
        <v>0</v>
      </c>
      <c r="R87" s="91">
        <f>COUNTIF(R7:R60,"d5")</f>
        <v>0</v>
      </c>
      <c r="S87" s="91">
        <f>COUNTIF(S7:S60,"d5")</f>
        <v>0</v>
      </c>
      <c r="T87" s="91">
        <f>COUNTIF(T7:T60,"d5")</f>
        <v>0</v>
      </c>
      <c r="U87" s="91">
        <f>COUNTIF(U7:U60,"d5")</f>
        <v>0</v>
      </c>
      <c r="V87" s="91">
        <f>COUNTIF(V7:V60,"d5")</f>
        <v>0</v>
      </c>
      <c r="W87" s="91">
        <f>COUNTIF(W7:W60,"d4")</f>
        <v>0</v>
      </c>
      <c r="X87" s="91">
        <f>COUNTIF(X7:X60,"d3")</f>
        <v>0</v>
      </c>
      <c r="Y87" s="91">
        <f>COUNTIF(Y7:Y60,"d5")</f>
        <v>0</v>
      </c>
      <c r="Z87" s="91">
        <f>COUNTIF(Z7:Z60,"d3")</f>
        <v>0</v>
      </c>
      <c r="AA87" s="91">
        <f>COUNTIF(AA7:AA60,"d4")</f>
        <v>0</v>
      </c>
      <c r="AB87" s="91">
        <f>COUNTIF(AB7:AB60,"d4")</f>
        <v>0</v>
      </c>
      <c r="AC87" s="91">
        <f>COUNTIF(AC7:AC60,"d5")</f>
        <v>0</v>
      </c>
      <c r="AE87" s="91">
        <f>COUNTIF(AE7:AE60,"d5")</f>
        <v>0</v>
      </c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</row>
    <row r="88" spans="3:94" s="91" customFormat="1" ht="11.25" x14ac:dyDescent="0.2">
      <c r="C88" s="91" t="s">
        <v>5</v>
      </c>
      <c r="G88" s="100">
        <f>COUNTIF(G7:G60,"g2")</f>
        <v>0</v>
      </c>
      <c r="J88" s="91">
        <f>COUNTIF(J7:J60,"g2")</f>
        <v>0</v>
      </c>
      <c r="K88" s="91">
        <f>COUNTIF(K7:K60,"g2")</f>
        <v>0</v>
      </c>
      <c r="M88" s="91">
        <f>COUNTIF(M7:M60,"g2")</f>
        <v>0</v>
      </c>
      <c r="N88" s="91">
        <f>COUNTIF(N7:N60,"g2")</f>
        <v>0</v>
      </c>
      <c r="P88" s="91">
        <f>COUNTIF(P7:P60,"g1")</f>
        <v>0</v>
      </c>
      <c r="Q88" s="91">
        <f>COUNTIF(Q7:Q60,"g1")</f>
        <v>0</v>
      </c>
      <c r="R88" s="91">
        <f t="shared" ref="R88:AC88" si="137">COUNTIF(R7:R60,"g2")</f>
        <v>0</v>
      </c>
      <c r="S88" s="91">
        <f t="shared" si="137"/>
        <v>0</v>
      </c>
      <c r="T88" s="91">
        <f t="shared" si="137"/>
        <v>0</v>
      </c>
      <c r="U88" s="91">
        <f t="shared" si="137"/>
        <v>0</v>
      </c>
      <c r="V88" s="91">
        <f t="shared" si="137"/>
        <v>0</v>
      </c>
      <c r="W88" s="91">
        <f t="shared" si="137"/>
        <v>0</v>
      </c>
      <c r="X88" s="91">
        <f t="shared" si="137"/>
        <v>0</v>
      </c>
      <c r="Y88" s="91">
        <f t="shared" si="137"/>
        <v>2</v>
      </c>
      <c r="Z88" s="91">
        <f t="shared" si="137"/>
        <v>2</v>
      </c>
      <c r="AA88" s="91">
        <f t="shared" si="137"/>
        <v>0</v>
      </c>
      <c r="AB88" s="91">
        <f t="shared" si="137"/>
        <v>0</v>
      </c>
      <c r="AC88" s="91">
        <f t="shared" si="137"/>
        <v>0</v>
      </c>
      <c r="AE88" s="91">
        <f>COUNTIF(AE7:AE60,"g2")</f>
        <v>2</v>
      </c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</row>
    <row r="89" spans="3:94" s="91" customFormat="1" ht="11.25" x14ac:dyDescent="0.2">
      <c r="C89" s="91" t="s">
        <v>462</v>
      </c>
      <c r="D89" s="91">
        <f>COUNTIF(D7:D60,"a1")</f>
        <v>0</v>
      </c>
      <c r="E89" s="91">
        <f>COUNTIF(E7:E60,"a3")</f>
        <v>0</v>
      </c>
      <c r="F89" s="91">
        <f>COUNTIF(F7:F60,"a6")</f>
        <v>0</v>
      </c>
      <c r="G89" s="91">
        <f>COUNTIF(G7:G60,"a2")</f>
        <v>0</v>
      </c>
      <c r="H89" s="91">
        <f>COUNTIF(H7:H60,"a4")</f>
        <v>0</v>
      </c>
      <c r="I89" s="91">
        <f>COUNTIF(I7:I60,"a6")</f>
        <v>0</v>
      </c>
      <c r="J89" s="91">
        <f>COUNTIF(J7:J60,"a5")</f>
        <v>3</v>
      </c>
      <c r="K89" s="100">
        <f>COUNTIF(K7:K60,"a4")</f>
        <v>0</v>
      </c>
      <c r="L89" s="91">
        <f>COUNTIF(L7:L60,"a6")</f>
        <v>0</v>
      </c>
      <c r="M89" s="91">
        <f>COUNTIF(M7:M60,"a2")</f>
        <v>0</v>
      </c>
      <c r="N89" s="91">
        <f>COUNTIF(N7:N60,"a5")</f>
        <v>0</v>
      </c>
      <c r="O89" s="91">
        <f>COUNTIF(O7:O60,"a4")</f>
        <v>3</v>
      </c>
      <c r="P89" s="91">
        <f>COUNTIF(P7:P60,"a4")</f>
        <v>0</v>
      </c>
      <c r="Q89" s="91">
        <f>COUNTIF(Q7:Q60,"a4")</f>
        <v>0</v>
      </c>
      <c r="R89" s="91">
        <f>COUNTIF(R7:R60,"a3")</f>
        <v>0</v>
      </c>
      <c r="S89" s="91">
        <f>COUNTIF(S7:S60,"a1")</f>
        <v>0</v>
      </c>
      <c r="T89" s="91">
        <f>COUNTIF(T7:T60,"a1")</f>
        <v>0</v>
      </c>
      <c r="U89" s="91">
        <f>COUNTIF(U7:U60,"a2")</f>
        <v>0</v>
      </c>
      <c r="V89" s="91">
        <f>COUNTIF(V7:V60,"a3")</f>
        <v>0</v>
      </c>
      <c r="W89" s="91">
        <f>COUNTIF(W7:W60,"a5")</f>
        <v>0</v>
      </c>
      <c r="X89" s="91">
        <f>COUNTIF(X7:X60,"a6")</f>
        <v>0</v>
      </c>
      <c r="Y89" s="91">
        <f>COUNTIF(Y7:Y60,"a2")</f>
        <v>0</v>
      </c>
      <c r="Z89" s="91">
        <f>COUNTIF(Z7:Z60,"a3")</f>
        <v>0</v>
      </c>
      <c r="AA89" s="91">
        <f>COUNTIF(AA7:AA60,"a3")</f>
        <v>0</v>
      </c>
      <c r="AB89" s="91">
        <f>COUNTIF(AB7:AB60,"a5")</f>
        <v>0</v>
      </c>
      <c r="AC89" s="91">
        <f>COUNTIF(AC7:AC60,"a5")</f>
        <v>0</v>
      </c>
      <c r="AE89" s="91">
        <f>COUNTIF(AE7:AE60,"a1")</f>
        <v>0</v>
      </c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</row>
    <row r="90" spans="3:94" s="91" customFormat="1" ht="11.25" x14ac:dyDescent="0.2">
      <c r="C90" s="91" t="s">
        <v>34</v>
      </c>
      <c r="D90" s="91">
        <f>COUNTIF(D7:D60,"tq4")</f>
        <v>2</v>
      </c>
      <c r="E90" s="91">
        <f>COUNTIF(E7:E60,"tq4")</f>
        <v>2</v>
      </c>
      <c r="F90" s="91">
        <f>COUNTIF(F7:F60,"tq4")</f>
        <v>3</v>
      </c>
      <c r="G90" s="91">
        <f>COUNTIF(G7:G60,"tq1")</f>
        <v>0</v>
      </c>
      <c r="H90" s="91">
        <f>COUNTIF(H7:H60,"tq1")</f>
        <v>0</v>
      </c>
      <c r="I90" s="91">
        <f>COUNTIF(I7:I60,"tq1")</f>
        <v>0</v>
      </c>
      <c r="J90" s="100">
        <f>COUNTIF(J7:J60,"tq4")</f>
        <v>0</v>
      </c>
      <c r="K90" s="100">
        <f>COUNTIF(K7:K60,"tq4")</f>
        <v>0</v>
      </c>
      <c r="L90" s="91">
        <f>COUNTIF(L7:L60,"tq4")</f>
        <v>0</v>
      </c>
      <c r="M90" s="91">
        <f>COUNTIF(M7:M60,"tq4")</f>
        <v>0</v>
      </c>
      <c r="N90" s="91">
        <f>COUNTIF(N7:N60,"tq4")</f>
        <v>0</v>
      </c>
      <c r="O90" s="91">
        <f>COUNTIF(O7:O60,"tq1")</f>
        <v>0</v>
      </c>
      <c r="P90" s="91">
        <f>COUNTIF(P7:P60,"tq1")</f>
        <v>0</v>
      </c>
      <c r="Q90" s="91">
        <f>COUNTIF(Q7:Q60,"tq1")</f>
        <v>0</v>
      </c>
      <c r="R90" s="91">
        <f>COUNTIF(R7:R60,"tq1")</f>
        <v>1</v>
      </c>
      <c r="S90" s="91">
        <f>COUNTIF(S7:S60,"tq4")</f>
        <v>0</v>
      </c>
      <c r="T90" s="100">
        <f>COUNTIF(T7:T60,"tq3")</f>
        <v>3</v>
      </c>
      <c r="U90" s="100">
        <f>COUNTIF(U7:U60,"tq3")</f>
        <v>3</v>
      </c>
      <c r="V90" s="91">
        <f>COUNTIF(V7:V60,"tq4")</f>
        <v>2</v>
      </c>
      <c r="W90" s="91">
        <f>COUNTIF(W7:W60,"tq4")</f>
        <v>2</v>
      </c>
      <c r="X90" s="91">
        <f>COUNTIF(X7:X60,"tq4")</f>
        <v>0</v>
      </c>
      <c r="Y90" s="91">
        <f>COUNTIF(Y7:Y60,"tq4")</f>
        <v>0</v>
      </c>
      <c r="Z90" s="91">
        <f>COUNTIF(Z7:Z60,"tq3")</f>
        <v>0</v>
      </c>
      <c r="AA90" s="91">
        <f>COUNTIF(AA7:AA60,"tq3")</f>
        <v>0</v>
      </c>
      <c r="AB90" s="91">
        <f>COUNTIF(AB7:AB60,"tq3")</f>
        <v>0</v>
      </c>
      <c r="AC90" s="91">
        <f>COUNTIF(AC7:AC60,"tq3")</f>
        <v>0</v>
      </c>
      <c r="AE90" s="91">
        <f>COUNTIF(AE7:AE60,"tq3")</f>
        <v>0</v>
      </c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</row>
    <row r="91" spans="3:94" s="91" customFormat="1" ht="11.25" x14ac:dyDescent="0.2">
      <c r="C91" s="91" t="s">
        <v>277</v>
      </c>
      <c r="D91" s="91">
        <f>COUNTIF(D7:D60,"q1")</f>
        <v>0</v>
      </c>
      <c r="E91" s="91">
        <f>COUNTIF(E7:E60,"q1")</f>
        <v>0</v>
      </c>
      <c r="F91" s="91">
        <f>COUNTIF(F7:F60,"q1")</f>
        <v>0</v>
      </c>
      <c r="G91" s="91">
        <f>COUNTIF(G7:G60,"q2")</f>
        <v>0</v>
      </c>
      <c r="H91" s="91">
        <f>COUNTIF(H7:H60,"q2")</f>
        <v>0</v>
      </c>
      <c r="I91" s="91">
        <f>COUNTIF(I7:I60,"q2")</f>
        <v>0</v>
      </c>
      <c r="J91" s="91">
        <f>COUNTIF(J7:J60,"TQ1")</f>
        <v>0</v>
      </c>
      <c r="K91" s="91">
        <f>COUNTIF(K7:K60,"TQ1")</f>
        <v>0</v>
      </c>
      <c r="L91" s="91">
        <f t="shared" ref="L91:R91" si="138">COUNTIF(L7:L60,"q2")</f>
        <v>0</v>
      </c>
      <c r="M91" s="91">
        <f t="shared" si="138"/>
        <v>0</v>
      </c>
      <c r="N91" s="91">
        <f t="shared" si="138"/>
        <v>0</v>
      </c>
      <c r="O91" s="91">
        <f t="shared" si="138"/>
        <v>0</v>
      </c>
      <c r="P91" s="91">
        <f t="shared" si="138"/>
        <v>0</v>
      </c>
      <c r="Q91" s="91">
        <f t="shared" si="138"/>
        <v>0</v>
      </c>
      <c r="R91" s="91">
        <f t="shared" si="138"/>
        <v>0</v>
      </c>
      <c r="S91" s="91">
        <f>COUNTIF(S7:S60,"tq3")</f>
        <v>2</v>
      </c>
      <c r="T91" s="100">
        <f t="shared" ref="T91:Y91" si="139">COUNTIF(T7:T60,"q2")</f>
        <v>0</v>
      </c>
      <c r="U91" s="100">
        <f t="shared" si="139"/>
        <v>0</v>
      </c>
      <c r="V91" s="91">
        <f t="shared" si="139"/>
        <v>0</v>
      </c>
      <c r="W91" s="91">
        <f t="shared" si="139"/>
        <v>0</v>
      </c>
      <c r="X91" s="91">
        <f t="shared" si="139"/>
        <v>1</v>
      </c>
      <c r="Y91" s="91">
        <f t="shared" si="139"/>
        <v>1</v>
      </c>
      <c r="Z91" s="91">
        <f>COUNTIF(Z7:Z60,"q1")</f>
        <v>0</v>
      </c>
      <c r="AA91" s="91">
        <f>COUNTIF(AA7:AA60,"Q1")</f>
        <v>0</v>
      </c>
      <c r="AB91" s="91">
        <f>COUNTIF(AB7:AB60,"Q1")</f>
        <v>0</v>
      </c>
      <c r="AC91" s="91">
        <f>COUNTIF(AC7:AC60,"Q1")</f>
        <v>0</v>
      </c>
      <c r="AE91" s="91">
        <f>COUNTIF(AE7:AE60,"Q1")</f>
        <v>0</v>
      </c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</row>
    <row r="92" spans="3:94" s="91" customFormat="1" ht="11.25" x14ac:dyDescent="0.2">
      <c r="C92" s="91" t="s">
        <v>37</v>
      </c>
      <c r="L92" s="91">
        <f>COUNTIF(L7:L60,"tt7")</f>
        <v>0</v>
      </c>
      <c r="M92" s="91">
        <f>COUNTIF(M7:M60,"tt6")</f>
        <v>0</v>
      </c>
      <c r="N92" s="91">
        <f>COUNTIF(N40:N59,"tt5")</f>
        <v>0</v>
      </c>
      <c r="O92" s="91">
        <f>COUNTIF(O7:O60,"tt4")</f>
        <v>0</v>
      </c>
      <c r="P92" s="91">
        <f>COUNTIF(P7:P60,"tt9")</f>
        <v>0</v>
      </c>
      <c r="Q92" s="91">
        <f>COUNTIF(Q7:Q60,"tt1")</f>
        <v>0</v>
      </c>
      <c r="R92" s="91">
        <f>COUNTIF(R7:R60,"tt1")</f>
        <v>4</v>
      </c>
      <c r="S92" s="100">
        <f>COUNTIF(S7:S60,"tt")</f>
        <v>0</v>
      </c>
      <c r="T92" s="100">
        <f>COUNTIF(T7:T60,"tt1")</f>
        <v>0</v>
      </c>
      <c r="U92" s="100">
        <f>COUNTIF(U7:U60,"tt1")</f>
        <v>0</v>
      </c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</row>
    <row r="93" spans="3:94" s="91" customFormat="1" ht="11.25" x14ac:dyDescent="0.2">
      <c r="D93" s="101">
        <f>SUM(D79:D92)</f>
        <v>6</v>
      </c>
      <c r="E93" s="101">
        <f t="shared" ref="E93:AE93" si="140">SUM(E79:E92)</f>
        <v>5</v>
      </c>
      <c r="F93" s="101">
        <f t="shared" si="140"/>
        <v>3</v>
      </c>
      <c r="G93" s="101">
        <f t="shared" si="140"/>
        <v>0</v>
      </c>
      <c r="H93" s="101">
        <f t="shared" si="140"/>
        <v>0</v>
      </c>
      <c r="I93" s="101">
        <f t="shared" si="140"/>
        <v>4</v>
      </c>
      <c r="J93" s="101">
        <f t="shared" si="140"/>
        <v>5</v>
      </c>
      <c r="K93" s="101">
        <f t="shared" si="140"/>
        <v>0</v>
      </c>
      <c r="L93" s="101">
        <f t="shared" si="140"/>
        <v>3</v>
      </c>
      <c r="M93" s="101">
        <f t="shared" si="140"/>
        <v>3</v>
      </c>
      <c r="N93" s="101">
        <f t="shared" si="140"/>
        <v>0</v>
      </c>
      <c r="O93" s="101">
        <f t="shared" si="140"/>
        <v>13</v>
      </c>
      <c r="P93" s="101">
        <f t="shared" si="140"/>
        <v>6</v>
      </c>
      <c r="Q93" s="101">
        <f t="shared" si="140"/>
        <v>3</v>
      </c>
      <c r="R93" s="101">
        <f t="shared" si="140"/>
        <v>5</v>
      </c>
      <c r="S93" s="101">
        <f t="shared" si="140"/>
        <v>6</v>
      </c>
      <c r="T93" s="101">
        <f t="shared" si="140"/>
        <v>6</v>
      </c>
      <c r="U93" s="101">
        <f t="shared" si="140"/>
        <v>6</v>
      </c>
      <c r="V93" s="101">
        <f t="shared" si="140"/>
        <v>18</v>
      </c>
      <c r="W93" s="101">
        <f t="shared" si="140"/>
        <v>12</v>
      </c>
      <c r="X93" s="101">
        <f t="shared" si="140"/>
        <v>7</v>
      </c>
      <c r="Y93" s="101">
        <f t="shared" si="140"/>
        <v>7</v>
      </c>
      <c r="Z93" s="101">
        <f t="shared" si="140"/>
        <v>6</v>
      </c>
      <c r="AA93" s="101">
        <f t="shared" si="140"/>
        <v>5</v>
      </c>
      <c r="AB93" s="101">
        <f t="shared" si="140"/>
        <v>0</v>
      </c>
      <c r="AC93" s="101">
        <f t="shared" si="140"/>
        <v>5</v>
      </c>
      <c r="AD93" s="101"/>
      <c r="AE93" s="101">
        <f t="shared" si="140"/>
        <v>10</v>
      </c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</row>
    <row r="94" spans="3:94" ht="15.75" customHeight="1" x14ac:dyDescent="0.25"/>
    <row r="95" spans="3:94" ht="15.75" customHeight="1" x14ac:dyDescent="0.25"/>
    <row r="96" spans="3:94" ht="15.75" customHeight="1" x14ac:dyDescent="0.25"/>
    <row r="97" spans="32:36" ht="15.75" customHeight="1" x14ac:dyDescent="0.25"/>
    <row r="98" spans="32:36" ht="15.75" customHeight="1" x14ac:dyDescent="0.25"/>
    <row r="99" spans="32:36" ht="15.75" customHeight="1" x14ac:dyDescent="0.25"/>
    <row r="100" spans="32:36" ht="15.75" customHeight="1" x14ac:dyDescent="0.25">
      <c r="AF100" s="387"/>
      <c r="AG100" s="89"/>
      <c r="AH100" s="89"/>
      <c r="AI100" s="89"/>
      <c r="AJ100" s="89"/>
    </row>
    <row r="101" spans="32:36" ht="15.75" customHeight="1" x14ac:dyDescent="0.25">
      <c r="AF101" s="387"/>
      <c r="AG101" s="89"/>
      <c r="AH101" s="89"/>
      <c r="AI101" s="89"/>
      <c r="AJ101" s="89"/>
    </row>
    <row r="102" spans="32:36" ht="15.75" customHeight="1" x14ac:dyDescent="0.25">
      <c r="AF102" s="387"/>
      <c r="AG102" s="89"/>
      <c r="AH102" s="89"/>
      <c r="AI102" s="89"/>
      <c r="AJ102" s="89"/>
    </row>
    <row r="103" spans="32:36" ht="15.75" customHeight="1" x14ac:dyDescent="0.25">
      <c r="AF103" s="387"/>
      <c r="AG103" s="89"/>
      <c r="AH103" s="89"/>
      <c r="AI103" s="89"/>
      <c r="AJ103" s="89"/>
    </row>
    <row r="104" spans="32:36" ht="15.75" customHeight="1" x14ac:dyDescent="0.25">
      <c r="AF104" s="387"/>
      <c r="AG104" s="89"/>
      <c r="AH104" s="89"/>
      <c r="AI104" s="89"/>
      <c r="AJ104" s="89"/>
    </row>
    <row r="105" spans="32:36" ht="15.75" customHeight="1" x14ac:dyDescent="0.25">
      <c r="AF105" s="387"/>
      <c r="AG105" s="89"/>
      <c r="AH105" s="89"/>
      <c r="AI105" s="89"/>
      <c r="AJ105" s="89"/>
    </row>
    <row r="106" spans="32:36" ht="15.75" customHeight="1" x14ac:dyDescent="0.25">
      <c r="AF106" s="387"/>
      <c r="AG106" s="89"/>
      <c r="AH106" s="89"/>
      <c r="AI106" s="89"/>
      <c r="AJ106" s="89"/>
    </row>
    <row r="107" spans="32:36" ht="15.75" customHeight="1" x14ac:dyDescent="0.25"/>
    <row r="108" spans="32:36" ht="15.75" customHeight="1" x14ac:dyDescent="0.25"/>
    <row r="109" spans="32:36" ht="15.75" customHeight="1" x14ac:dyDescent="0.25"/>
    <row r="110" spans="32:36" ht="15.75" customHeight="1" x14ac:dyDescent="0.25"/>
    <row r="111" spans="32:36" ht="15.75" customHeight="1" x14ac:dyDescent="0.25"/>
    <row r="112" spans="32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mergeCells count="116">
    <mergeCell ref="I68:L68"/>
    <mergeCell ref="Q62:T62"/>
    <mergeCell ref="Y62:AB62"/>
    <mergeCell ref="M70:N70"/>
    <mergeCell ref="M71:N71"/>
    <mergeCell ref="U63:V63"/>
    <mergeCell ref="U64:V64"/>
    <mergeCell ref="U65:V65"/>
    <mergeCell ref="U66:V66"/>
    <mergeCell ref="U67:V67"/>
    <mergeCell ref="U70:V70"/>
    <mergeCell ref="U71:V71"/>
    <mergeCell ref="Q63:T63"/>
    <mergeCell ref="Q64:T64"/>
    <mergeCell ref="Q65:T65"/>
    <mergeCell ref="Q66:T66"/>
    <mergeCell ref="Q67:T67"/>
    <mergeCell ref="I63:L63"/>
    <mergeCell ref="I64:L64"/>
    <mergeCell ref="I65:L65"/>
    <mergeCell ref="I66:L66"/>
    <mergeCell ref="I62:L62"/>
    <mergeCell ref="W78:AE78"/>
    <mergeCell ref="AC77:AE77"/>
    <mergeCell ref="A60:C60"/>
    <mergeCell ref="A61:AE61"/>
    <mergeCell ref="AC69:AE69"/>
    <mergeCell ref="AC70:AE70"/>
    <mergeCell ref="AC71:AE71"/>
    <mergeCell ref="AC72:AE72"/>
    <mergeCell ref="AC73:AE73"/>
    <mergeCell ref="AC64:AE64"/>
    <mergeCell ref="AC65:AE65"/>
    <mergeCell ref="AC66:AE66"/>
    <mergeCell ref="AC67:AE67"/>
    <mergeCell ref="AC68:AE68"/>
    <mergeCell ref="U73:V73"/>
    <mergeCell ref="AC62:AE62"/>
    <mergeCell ref="U62:V62"/>
    <mergeCell ref="AC63:AE63"/>
    <mergeCell ref="AC74:AE74"/>
    <mergeCell ref="AC75:AE75"/>
    <mergeCell ref="AC76:AE76"/>
    <mergeCell ref="U77:V77"/>
    <mergeCell ref="U68:V68"/>
    <mergeCell ref="U69:V69"/>
    <mergeCell ref="U72:V72"/>
    <mergeCell ref="U74:V74"/>
    <mergeCell ref="U75:V75"/>
    <mergeCell ref="U76:V76"/>
    <mergeCell ref="Q68:T68"/>
    <mergeCell ref="Q69:T69"/>
    <mergeCell ref="Q70:T70"/>
    <mergeCell ref="Q71:T71"/>
    <mergeCell ref="Q72:T72"/>
    <mergeCell ref="M77:N77"/>
    <mergeCell ref="I76:L76"/>
    <mergeCell ref="I77:L77"/>
    <mergeCell ref="C75:D75"/>
    <mergeCell ref="E75:F75"/>
    <mergeCell ref="C76:D76"/>
    <mergeCell ref="E76:F76"/>
    <mergeCell ref="C77:D77"/>
    <mergeCell ref="E77:F77"/>
    <mergeCell ref="M75:N75"/>
    <mergeCell ref="M76:N76"/>
    <mergeCell ref="M74:N74"/>
    <mergeCell ref="M62:N62"/>
    <mergeCell ref="M63:N63"/>
    <mergeCell ref="M64:N64"/>
    <mergeCell ref="M65:N65"/>
    <mergeCell ref="M66:N66"/>
    <mergeCell ref="M67:N67"/>
    <mergeCell ref="M68:N68"/>
    <mergeCell ref="M69:N69"/>
    <mergeCell ref="M72:N72"/>
    <mergeCell ref="M73:N73"/>
    <mergeCell ref="C74:D74"/>
    <mergeCell ref="E72:F72"/>
    <mergeCell ref="E73:F73"/>
    <mergeCell ref="E74:F74"/>
    <mergeCell ref="E67:F67"/>
    <mergeCell ref="E68:F68"/>
    <mergeCell ref="E69:F69"/>
    <mergeCell ref="E70:F70"/>
    <mergeCell ref="E71:F71"/>
    <mergeCell ref="C73:D73"/>
    <mergeCell ref="E62:F62"/>
    <mergeCell ref="E63:F63"/>
    <mergeCell ref="E64:F64"/>
    <mergeCell ref="E65:F65"/>
    <mergeCell ref="E66:F66"/>
    <mergeCell ref="C68:D68"/>
    <mergeCell ref="C69:D69"/>
    <mergeCell ref="C70:D70"/>
    <mergeCell ref="C65:D65"/>
    <mergeCell ref="C66:D66"/>
    <mergeCell ref="C67:D67"/>
    <mergeCell ref="C63:D63"/>
    <mergeCell ref="C62:D62"/>
    <mergeCell ref="C64:D64"/>
    <mergeCell ref="A1:AE1"/>
    <mergeCell ref="A2:AE2"/>
    <mergeCell ref="A4:A6"/>
    <mergeCell ref="B4:B6"/>
    <mergeCell ref="A7:A11"/>
    <mergeCell ref="A12:A16"/>
    <mergeCell ref="A52:A55"/>
    <mergeCell ref="A56:A59"/>
    <mergeCell ref="A27:A31"/>
    <mergeCell ref="A40:A43"/>
    <mergeCell ref="A44:A47"/>
    <mergeCell ref="A48:A51"/>
    <mergeCell ref="A17:A21"/>
    <mergeCell ref="A22:A26"/>
    <mergeCell ref="A32:A34"/>
  </mergeCells>
  <phoneticPr fontId="1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F144"/>
  <sheetViews>
    <sheetView topLeftCell="A13" zoomScaleNormal="100" workbookViewId="0">
      <selection activeCell="O27" sqref="O27"/>
    </sheetView>
  </sheetViews>
  <sheetFormatPr defaultColWidth="4" defaultRowHeight="14.25" customHeight="1" x14ac:dyDescent="0.25"/>
  <cols>
    <col min="2" max="8" width="4.125" customWidth="1"/>
    <col min="9" max="23" width="4.375" customWidth="1"/>
    <col min="25" max="25" width="2.125" customWidth="1"/>
    <col min="26" max="29" width="4.375" customWidth="1"/>
  </cols>
  <sheetData>
    <row r="1" spans="1:32" ht="21" customHeight="1" x14ac:dyDescent="0.25">
      <c r="A1" s="148"/>
      <c r="B1" s="149"/>
      <c r="C1" s="149"/>
      <c r="D1" s="149"/>
      <c r="E1" s="149"/>
      <c r="F1" s="149"/>
      <c r="G1" s="881" t="s">
        <v>505</v>
      </c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150"/>
      <c r="AB1" s="150"/>
      <c r="AC1" s="150"/>
      <c r="AD1" s="150"/>
      <c r="AE1" s="150"/>
      <c r="AF1" s="151"/>
    </row>
    <row r="2" spans="1:32" ht="14.25" customHeight="1" x14ac:dyDescent="0.25">
      <c r="A2" s="146"/>
      <c r="B2" s="147"/>
      <c r="C2" s="147"/>
      <c r="D2" s="147"/>
      <c r="E2" s="147"/>
      <c r="F2" s="147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2"/>
      <c r="Y2" s="882"/>
      <c r="Z2" s="882"/>
      <c r="AA2" s="815" t="s">
        <v>359</v>
      </c>
      <c r="AB2" s="816"/>
      <c r="AC2" s="816"/>
      <c r="AD2" s="816"/>
      <c r="AE2" s="816"/>
      <c r="AF2" s="817"/>
    </row>
    <row r="3" spans="1:32" ht="14.25" customHeight="1" x14ac:dyDescent="0.25">
      <c r="A3" s="146"/>
      <c r="B3" s="845" t="s">
        <v>289</v>
      </c>
      <c r="C3" s="846"/>
      <c r="D3" s="846"/>
      <c r="E3" s="846"/>
      <c r="F3" s="846"/>
      <c r="G3" s="140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75" t="s">
        <v>358</v>
      </c>
      <c r="S3" s="144"/>
      <c r="T3" s="144"/>
      <c r="U3" s="144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52"/>
    </row>
    <row r="4" spans="1:32" ht="14.25" customHeight="1" x14ac:dyDescent="0.25">
      <c r="A4" s="146"/>
      <c r="B4" s="846"/>
      <c r="C4" s="846"/>
      <c r="D4" s="846"/>
      <c r="E4" s="846"/>
      <c r="F4" s="846"/>
      <c r="G4" s="141"/>
      <c r="H4" s="155"/>
      <c r="I4" s="156"/>
      <c r="J4" s="156"/>
      <c r="K4" s="156"/>
      <c r="L4" s="156"/>
      <c r="M4" s="156"/>
      <c r="N4" s="156"/>
      <c r="O4" s="156"/>
      <c r="P4" s="156"/>
      <c r="Q4" s="160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  <c r="AE4" s="141"/>
      <c r="AF4" s="153"/>
    </row>
    <row r="5" spans="1:32" ht="14.25" customHeight="1" x14ac:dyDescent="0.25">
      <c r="A5" s="146"/>
      <c r="B5" s="846"/>
      <c r="C5" s="846"/>
      <c r="D5" s="846"/>
      <c r="E5" s="846"/>
      <c r="F5" s="846"/>
      <c r="G5" s="141"/>
      <c r="H5" s="157"/>
      <c r="I5" s="158"/>
      <c r="J5" s="158"/>
      <c r="K5" s="237" t="s">
        <v>427</v>
      </c>
      <c r="L5" s="158"/>
      <c r="M5" s="158"/>
      <c r="N5" s="158"/>
      <c r="O5" s="158"/>
      <c r="P5" s="158"/>
      <c r="Q5" s="163"/>
      <c r="R5" s="228"/>
      <c r="S5" s="228"/>
      <c r="T5" s="228"/>
      <c r="U5" s="228"/>
      <c r="V5" s="228"/>
      <c r="W5" s="236" t="s">
        <v>435</v>
      </c>
      <c r="X5" s="228"/>
      <c r="Y5" s="228"/>
      <c r="Z5" s="228"/>
      <c r="AA5" s="228"/>
      <c r="AB5" s="228"/>
      <c r="AC5" s="228"/>
      <c r="AD5" s="164"/>
      <c r="AE5" s="141"/>
      <c r="AF5" s="153"/>
    </row>
    <row r="6" spans="1:32" ht="14.25" customHeight="1" x14ac:dyDescent="0.25">
      <c r="A6" s="146"/>
      <c r="B6" s="846"/>
      <c r="C6" s="846"/>
      <c r="D6" s="846"/>
      <c r="E6" s="846"/>
      <c r="F6" s="846"/>
      <c r="G6" s="141"/>
      <c r="H6" s="157"/>
      <c r="I6" s="158"/>
      <c r="J6" s="158"/>
      <c r="K6" s="158"/>
      <c r="L6" s="158"/>
      <c r="M6" s="158"/>
      <c r="N6" s="158"/>
      <c r="O6" s="158"/>
      <c r="P6" s="158"/>
      <c r="Q6" s="165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7"/>
      <c r="AE6" s="141"/>
      <c r="AF6" s="153"/>
    </row>
    <row r="7" spans="1:32" ht="8.4499999999999993" customHeight="1" x14ac:dyDescent="0.25">
      <c r="A7" s="146"/>
      <c r="B7" s="846"/>
      <c r="C7" s="846"/>
      <c r="D7" s="846"/>
      <c r="E7" s="846"/>
      <c r="F7" s="846"/>
      <c r="G7" s="141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1"/>
      <c r="AE7" s="141"/>
      <c r="AF7" s="153"/>
    </row>
    <row r="8" spans="1:32" ht="14.25" customHeight="1" thickBot="1" x14ac:dyDescent="0.3">
      <c r="A8" s="246"/>
      <c r="B8" s="847"/>
      <c r="C8" s="847"/>
      <c r="D8" s="847"/>
      <c r="E8" s="847"/>
      <c r="F8" s="848"/>
      <c r="G8" s="138"/>
      <c r="H8" s="232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828" t="s">
        <v>428</v>
      </c>
      <c r="U8" s="828"/>
      <c r="V8" s="828"/>
      <c r="W8" s="828"/>
      <c r="X8" s="828"/>
      <c r="Y8" s="828"/>
      <c r="Z8" s="828"/>
      <c r="AA8" s="828"/>
      <c r="AB8" s="233"/>
      <c r="AC8" s="233"/>
      <c r="AD8" s="234"/>
      <c r="AE8" s="141"/>
      <c r="AF8" s="153"/>
    </row>
    <row r="9" spans="1:32" ht="14.25" customHeight="1" thickTop="1" x14ac:dyDescent="0.25">
      <c r="A9" s="946" t="s">
        <v>291</v>
      </c>
      <c r="B9" s="947"/>
      <c r="G9" s="138"/>
      <c r="H9" s="168"/>
      <c r="I9" s="169"/>
      <c r="J9" s="169"/>
      <c r="K9" s="170"/>
      <c r="L9" s="159"/>
      <c r="M9" s="168"/>
      <c r="N9" s="169"/>
      <c r="O9" s="169"/>
      <c r="P9" s="169"/>
      <c r="Q9" s="169"/>
      <c r="R9" s="170"/>
      <c r="S9" s="159"/>
      <c r="T9" s="168"/>
      <c r="U9" s="169"/>
      <c r="V9" s="169"/>
      <c r="W9" s="169"/>
      <c r="X9" s="169"/>
      <c r="Y9" s="170"/>
      <c r="Z9" s="159"/>
      <c r="AA9" s="168"/>
      <c r="AB9" s="169"/>
      <c r="AC9" s="169"/>
      <c r="AD9" s="170"/>
      <c r="AE9" s="141"/>
      <c r="AF9" s="153"/>
    </row>
    <row r="10" spans="1:32" ht="8.25" customHeight="1" x14ac:dyDescent="0.25">
      <c r="A10" s="946"/>
      <c r="B10" s="947"/>
      <c r="G10" s="138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53"/>
    </row>
    <row r="11" spans="1:32" ht="14.25" customHeight="1" x14ac:dyDescent="0.25">
      <c r="A11" s="948" t="s">
        <v>290</v>
      </c>
      <c r="B11" s="948"/>
      <c r="G11" s="13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41"/>
      <c r="AF11" s="153"/>
    </row>
    <row r="12" spans="1:32" ht="14.25" customHeight="1" x14ac:dyDescent="0.25">
      <c r="A12" s="146"/>
      <c r="H12" s="829" t="s">
        <v>506</v>
      </c>
      <c r="I12" s="830"/>
      <c r="J12" s="830"/>
      <c r="K12" s="831"/>
      <c r="L12" s="967" t="s">
        <v>239</v>
      </c>
      <c r="M12" s="824" t="s">
        <v>258</v>
      </c>
      <c r="N12" s="825"/>
      <c r="O12" s="824" t="s">
        <v>259</v>
      </c>
      <c r="P12" s="825"/>
      <c r="Q12" s="824" t="s">
        <v>260</v>
      </c>
      <c r="R12" s="825"/>
      <c r="S12" s="967" t="s">
        <v>239</v>
      </c>
      <c r="T12" s="824" t="s">
        <v>261</v>
      </c>
      <c r="U12" s="825"/>
      <c r="V12" s="824" t="s">
        <v>262</v>
      </c>
      <c r="W12" s="825"/>
      <c r="X12" s="70"/>
      <c r="Y12" s="70"/>
      <c r="AA12" s="936" t="s">
        <v>292</v>
      </c>
      <c r="AB12" s="937"/>
      <c r="AE12" s="138"/>
      <c r="AF12" s="153"/>
    </row>
    <row r="13" spans="1:32" ht="12.75" customHeight="1" x14ac:dyDescent="0.25">
      <c r="A13" s="146"/>
      <c r="G13" s="235" t="s">
        <v>373</v>
      </c>
      <c r="H13" s="832" t="s">
        <v>507</v>
      </c>
      <c r="I13" s="833"/>
      <c r="J13" s="833"/>
      <c r="K13" s="834"/>
      <c r="L13" s="967"/>
      <c r="M13" s="820" t="s">
        <v>509</v>
      </c>
      <c r="N13" s="821"/>
      <c r="O13" s="822" t="s">
        <v>521</v>
      </c>
      <c r="P13" s="823"/>
      <c r="Q13" s="822" t="s">
        <v>294</v>
      </c>
      <c r="R13" s="823"/>
      <c r="S13" s="967"/>
      <c r="T13" s="822" t="s">
        <v>295</v>
      </c>
      <c r="U13" s="823"/>
      <c r="V13" s="975" t="s">
        <v>276</v>
      </c>
      <c r="W13" s="976"/>
      <c r="X13" s="187" t="s">
        <v>373</v>
      </c>
      <c r="Y13" s="53"/>
      <c r="AA13" s="938"/>
      <c r="AB13" s="939"/>
      <c r="AE13" s="138"/>
      <c r="AF13" s="153"/>
    </row>
    <row r="14" spans="1:32" ht="14.25" customHeight="1" x14ac:dyDescent="0.25">
      <c r="A14" s="146"/>
      <c r="G14" s="235"/>
      <c r="H14" s="826" t="s">
        <v>263</v>
      </c>
      <c r="I14" s="827"/>
      <c r="J14" s="826" t="s">
        <v>264</v>
      </c>
      <c r="K14" s="827"/>
      <c r="L14" s="967"/>
      <c r="M14" s="826" t="s">
        <v>265</v>
      </c>
      <c r="N14" s="827"/>
      <c r="O14" s="826" t="s">
        <v>266</v>
      </c>
      <c r="P14" s="827"/>
      <c r="Q14" s="826" t="s">
        <v>238</v>
      </c>
      <c r="R14" s="827"/>
      <c r="S14" s="967"/>
      <c r="T14" s="826" t="s">
        <v>267</v>
      </c>
      <c r="U14" s="827"/>
      <c r="V14" s="826" t="s">
        <v>268</v>
      </c>
      <c r="W14" s="827"/>
      <c r="X14" s="188"/>
      <c r="AA14" s="938"/>
      <c r="AB14" s="939"/>
      <c r="AE14" s="138"/>
      <c r="AF14" s="153"/>
    </row>
    <row r="15" spans="1:32" ht="14.25" customHeight="1" x14ac:dyDescent="0.25">
      <c r="A15" s="146"/>
      <c r="G15" s="235" t="s">
        <v>372</v>
      </c>
      <c r="H15" s="818" t="s">
        <v>18</v>
      </c>
      <c r="I15" s="819"/>
      <c r="J15" s="818" t="s">
        <v>24</v>
      </c>
      <c r="K15" s="819"/>
      <c r="L15" s="967"/>
      <c r="M15" s="818" t="s">
        <v>142</v>
      </c>
      <c r="N15" s="819"/>
      <c r="O15" s="818" t="s">
        <v>124</v>
      </c>
      <c r="P15" s="819"/>
      <c r="Q15" s="818" t="s">
        <v>138</v>
      </c>
      <c r="R15" s="819"/>
      <c r="S15" s="967"/>
      <c r="T15" s="818" t="s">
        <v>201</v>
      </c>
      <c r="U15" s="819"/>
      <c r="V15" s="912" t="s">
        <v>202</v>
      </c>
      <c r="W15" s="913"/>
      <c r="X15" s="188" t="s">
        <v>372</v>
      </c>
      <c r="AE15" s="138"/>
      <c r="AF15" s="153"/>
    </row>
    <row r="16" spans="1:32" ht="14.25" customHeight="1" x14ac:dyDescent="0.25">
      <c r="A16" s="146"/>
      <c r="G16" s="235"/>
      <c r="H16" s="826" t="s">
        <v>269</v>
      </c>
      <c r="I16" s="827"/>
      <c r="J16" s="826" t="s">
        <v>270</v>
      </c>
      <c r="K16" s="827"/>
      <c r="L16" s="967"/>
      <c r="M16" s="826" t="s">
        <v>271</v>
      </c>
      <c r="N16" s="827"/>
      <c r="O16" s="829" t="s">
        <v>272</v>
      </c>
      <c r="P16" s="831"/>
      <c r="Q16" s="829" t="s">
        <v>273</v>
      </c>
      <c r="R16" s="831"/>
      <c r="S16" s="967"/>
      <c r="T16" s="829" t="s">
        <v>274</v>
      </c>
      <c r="U16" s="831"/>
      <c r="V16" s="829" t="s">
        <v>275</v>
      </c>
      <c r="W16" s="831"/>
      <c r="X16" s="188"/>
      <c r="AA16" s="849" t="s">
        <v>360</v>
      </c>
      <c r="AB16" s="850"/>
      <c r="AC16" s="851"/>
      <c r="AE16" s="138"/>
      <c r="AF16" s="153"/>
    </row>
    <row r="17" spans="1:32" ht="14.25" customHeight="1" thickBot="1" x14ac:dyDescent="0.3">
      <c r="A17" s="146"/>
      <c r="G17" s="235" t="s">
        <v>371</v>
      </c>
      <c r="H17" s="914" t="s">
        <v>203</v>
      </c>
      <c r="I17" s="915"/>
      <c r="J17" s="914" t="s">
        <v>204</v>
      </c>
      <c r="K17" s="915"/>
      <c r="L17" s="968"/>
      <c r="M17" s="914" t="s">
        <v>305</v>
      </c>
      <c r="N17" s="915"/>
      <c r="O17" s="916" t="s">
        <v>339</v>
      </c>
      <c r="P17" s="917"/>
      <c r="Q17" s="916" t="s">
        <v>338</v>
      </c>
      <c r="R17" s="917"/>
      <c r="S17" s="968"/>
      <c r="T17" s="916" t="s">
        <v>339</v>
      </c>
      <c r="U17" s="917"/>
      <c r="V17" s="922" t="s">
        <v>276</v>
      </c>
      <c r="W17" s="923"/>
      <c r="X17" s="188" t="s">
        <v>371</v>
      </c>
      <c r="AA17" s="852"/>
      <c r="AB17" s="853"/>
      <c r="AC17" s="854"/>
      <c r="AE17" s="138"/>
      <c r="AF17" s="153"/>
    </row>
    <row r="18" spans="1:32" ht="12.75" customHeight="1" thickTop="1" thickBot="1" x14ac:dyDescent="0.3">
      <c r="A18" s="146"/>
      <c r="G18" s="534"/>
      <c r="K18" s="69"/>
      <c r="U18" s="69"/>
      <c r="Z18" s="978" t="s">
        <v>371</v>
      </c>
      <c r="AA18" s="978"/>
      <c r="AB18" s="979" t="s">
        <v>372</v>
      </c>
      <c r="AC18" s="979"/>
      <c r="AE18" s="138"/>
      <c r="AF18" s="153"/>
    </row>
    <row r="19" spans="1:32" ht="14.25" customHeight="1" x14ac:dyDescent="0.25">
      <c r="A19" s="146"/>
      <c r="B19" s="940" t="s">
        <v>293</v>
      </c>
      <c r="C19" s="941"/>
      <c r="G19" s="534"/>
      <c r="I19" s="147"/>
      <c r="J19" s="147"/>
      <c r="K19" s="145"/>
      <c r="L19" s="147"/>
      <c r="M19" s="147"/>
      <c r="N19" s="147"/>
      <c r="O19" s="147"/>
      <c r="P19" s="147"/>
      <c r="Q19" s="147"/>
      <c r="R19" s="147"/>
      <c r="S19" s="147"/>
      <c r="T19" s="147"/>
      <c r="U19" s="145"/>
      <c r="V19" s="147"/>
      <c r="W19" s="147"/>
      <c r="Z19" s="924" t="s">
        <v>354</v>
      </c>
      <c r="AA19" s="925"/>
      <c r="AB19" s="928" t="s">
        <v>277</v>
      </c>
      <c r="AC19" s="925"/>
      <c r="AE19" s="138"/>
      <c r="AF19" s="153"/>
    </row>
    <row r="20" spans="1:32" ht="14.25" customHeight="1" thickBot="1" x14ac:dyDescent="0.3">
      <c r="A20" s="146"/>
      <c r="B20" s="942"/>
      <c r="C20" s="943"/>
      <c r="G20" s="534"/>
      <c r="I20" s="815" t="s">
        <v>279</v>
      </c>
      <c r="J20" s="816"/>
      <c r="K20" s="904"/>
      <c r="L20" s="944" t="s">
        <v>297</v>
      </c>
      <c r="M20" s="904"/>
      <c r="N20" s="944" t="s">
        <v>280</v>
      </c>
      <c r="O20" s="904"/>
      <c r="P20" s="918" t="s">
        <v>239</v>
      </c>
      <c r="Q20" s="815" t="s">
        <v>281</v>
      </c>
      <c r="R20" s="904"/>
      <c r="S20" s="944" t="s">
        <v>280</v>
      </c>
      <c r="T20" s="904"/>
      <c r="U20" s="944" t="s">
        <v>510</v>
      </c>
      <c r="V20" s="904"/>
      <c r="W20" s="920" t="s">
        <v>285</v>
      </c>
      <c r="Z20" s="926"/>
      <c r="AA20" s="927"/>
      <c r="AB20" s="929"/>
      <c r="AC20" s="927"/>
      <c r="AE20" s="138"/>
      <c r="AF20" s="153"/>
    </row>
    <row r="21" spans="1:32" ht="14.25" customHeight="1" thickBot="1" x14ac:dyDescent="0.3">
      <c r="A21" s="146"/>
      <c r="G21" s="534"/>
      <c r="H21" s="227" t="s">
        <v>372</v>
      </c>
      <c r="I21" s="820"/>
      <c r="J21" s="945"/>
      <c r="K21" s="821"/>
      <c r="L21" s="820"/>
      <c r="M21" s="821"/>
      <c r="N21" s="820"/>
      <c r="O21" s="821"/>
      <c r="P21" s="919"/>
      <c r="Q21" s="820"/>
      <c r="R21" s="821"/>
      <c r="S21" s="820"/>
      <c r="T21" s="821"/>
      <c r="U21" s="820"/>
      <c r="V21" s="821"/>
      <c r="W21" s="920"/>
      <c r="X21" s="187" t="s">
        <v>372</v>
      </c>
      <c r="Z21" s="962" t="s">
        <v>355</v>
      </c>
      <c r="AA21" s="956"/>
      <c r="AB21" s="930" t="s">
        <v>356</v>
      </c>
      <c r="AC21" s="931"/>
      <c r="AE21" s="138"/>
      <c r="AF21" s="153"/>
    </row>
    <row r="22" spans="1:32" ht="14.25" customHeight="1" thickTop="1" x14ac:dyDescent="0.25">
      <c r="A22" s="146"/>
      <c r="G22" s="534"/>
      <c r="H22" s="535"/>
      <c r="I22" s="815" t="s">
        <v>284</v>
      </c>
      <c r="J22" s="816"/>
      <c r="K22" s="904"/>
      <c r="L22" s="815" t="s">
        <v>283</v>
      </c>
      <c r="M22" s="904"/>
      <c r="N22" s="815" t="s">
        <v>374</v>
      </c>
      <c r="O22" s="904"/>
      <c r="P22" s="919"/>
      <c r="Q22" s="969" t="s">
        <v>384</v>
      </c>
      <c r="R22" s="970"/>
      <c r="S22" s="815" t="s">
        <v>282</v>
      </c>
      <c r="T22" s="816"/>
      <c r="U22" s="816"/>
      <c r="V22" s="904"/>
      <c r="W22" s="920" t="s">
        <v>285</v>
      </c>
      <c r="X22" s="187"/>
      <c r="Z22" s="963"/>
      <c r="AA22" s="958"/>
      <c r="AB22" s="932"/>
      <c r="AC22" s="933"/>
      <c r="AE22" s="138"/>
      <c r="AF22" s="153"/>
    </row>
    <row r="23" spans="1:32" ht="14.25" customHeight="1" thickBot="1" x14ac:dyDescent="0.3">
      <c r="A23" s="146"/>
      <c r="G23" s="534"/>
      <c r="H23" s="227" t="s">
        <v>371</v>
      </c>
      <c r="I23" s="905"/>
      <c r="J23" s="906"/>
      <c r="K23" s="907"/>
      <c r="L23" s="905"/>
      <c r="M23" s="907"/>
      <c r="N23" s="973"/>
      <c r="O23" s="974"/>
      <c r="P23" s="919"/>
      <c r="Q23" s="971"/>
      <c r="R23" s="972"/>
      <c r="S23" s="905"/>
      <c r="T23" s="906"/>
      <c r="U23" s="906"/>
      <c r="V23" s="907"/>
      <c r="W23" s="921"/>
      <c r="X23" s="187" t="s">
        <v>371</v>
      </c>
      <c r="Z23" s="964"/>
      <c r="AA23" s="960"/>
      <c r="AB23" s="934"/>
      <c r="AC23" s="935"/>
      <c r="AE23" s="138"/>
      <c r="AF23" s="153"/>
    </row>
    <row r="24" spans="1:32" ht="14.25" customHeight="1" thickTop="1" x14ac:dyDescent="0.25">
      <c r="A24" s="146"/>
      <c r="B24" s="978" t="s">
        <v>373</v>
      </c>
      <c r="C24" s="978"/>
      <c r="D24" s="978" t="s">
        <v>372</v>
      </c>
      <c r="E24" s="978"/>
      <c r="F24" s="978" t="s">
        <v>371</v>
      </c>
      <c r="G24" s="984"/>
      <c r="N24" s="195"/>
      <c r="O24" s="197"/>
      <c r="P24" s="198"/>
      <c r="Q24" s="199"/>
      <c r="R24" s="196"/>
      <c r="Z24" s="965" t="s">
        <v>239</v>
      </c>
      <c r="AA24" s="966"/>
      <c r="AB24" s="966"/>
      <c r="AC24" s="966"/>
      <c r="AE24" s="138"/>
      <c r="AF24" s="153"/>
    </row>
    <row r="25" spans="1:32" ht="14.25" customHeight="1" x14ac:dyDescent="0.25">
      <c r="A25" s="146"/>
      <c r="B25" s="826" t="s">
        <v>245</v>
      </c>
      <c r="C25" s="827"/>
      <c r="D25" s="826" t="s">
        <v>251</v>
      </c>
      <c r="E25" s="827"/>
      <c r="F25" s="826" t="s">
        <v>257</v>
      </c>
      <c r="G25" s="879"/>
      <c r="I25" s="868"/>
      <c r="J25" s="869"/>
      <c r="K25" s="869"/>
      <c r="L25" s="870"/>
      <c r="T25" s="859" t="s">
        <v>508</v>
      </c>
      <c r="U25" s="860"/>
      <c r="V25" s="860"/>
      <c r="W25" s="861"/>
      <c r="Z25" s="949" t="s">
        <v>353</v>
      </c>
      <c r="AA25" s="950"/>
      <c r="AB25" s="955" t="s">
        <v>357</v>
      </c>
      <c r="AC25" s="956"/>
      <c r="AE25" s="977" t="s">
        <v>375</v>
      </c>
      <c r="AF25" s="977" t="s">
        <v>375</v>
      </c>
    </row>
    <row r="26" spans="1:32" ht="14.25" customHeight="1" x14ac:dyDescent="0.25">
      <c r="A26" s="146"/>
      <c r="B26" s="818" t="s">
        <v>196</v>
      </c>
      <c r="C26" s="819"/>
      <c r="D26" s="818" t="s">
        <v>198</v>
      </c>
      <c r="E26" s="819"/>
      <c r="F26" s="818" t="s">
        <v>478</v>
      </c>
      <c r="G26" s="888"/>
      <c r="I26" s="871"/>
      <c r="J26" s="872"/>
      <c r="K26" s="872"/>
      <c r="L26" s="873"/>
      <c r="S26" s="71"/>
      <c r="T26" s="862"/>
      <c r="U26" s="863"/>
      <c r="V26" s="863"/>
      <c r="W26" s="864"/>
      <c r="Z26" s="951"/>
      <c r="AA26" s="952"/>
      <c r="AB26" s="957"/>
      <c r="AC26" s="958"/>
      <c r="AE26" s="977"/>
      <c r="AF26" s="977"/>
    </row>
    <row r="27" spans="1:32" ht="14.25" customHeight="1" x14ac:dyDescent="0.25">
      <c r="A27" s="146"/>
      <c r="B27" s="908" t="s">
        <v>239</v>
      </c>
      <c r="C27" s="909"/>
      <c r="D27" s="909"/>
      <c r="E27" s="909"/>
      <c r="F27" s="909"/>
      <c r="G27" s="910"/>
      <c r="I27" s="871"/>
      <c r="J27" s="872"/>
      <c r="K27" s="872"/>
      <c r="L27" s="873"/>
      <c r="S27" s="71"/>
      <c r="T27" s="862"/>
      <c r="U27" s="863"/>
      <c r="V27" s="863"/>
      <c r="W27" s="864"/>
      <c r="Z27" s="951"/>
      <c r="AA27" s="952"/>
      <c r="AB27" s="959"/>
      <c r="AC27" s="960"/>
      <c r="AE27" s="977"/>
      <c r="AF27" s="977"/>
    </row>
    <row r="28" spans="1:32" ht="14.25" customHeight="1" x14ac:dyDescent="0.25">
      <c r="A28" s="146"/>
      <c r="B28" s="826" t="s">
        <v>244</v>
      </c>
      <c r="C28" s="827"/>
      <c r="D28" s="826" t="s">
        <v>250</v>
      </c>
      <c r="E28" s="827"/>
      <c r="F28" s="826" t="s">
        <v>256</v>
      </c>
      <c r="G28" s="879"/>
      <c r="I28" s="874"/>
      <c r="J28" s="875"/>
      <c r="K28" s="875"/>
      <c r="L28" s="876"/>
      <c r="S28" s="71"/>
      <c r="T28" s="865"/>
      <c r="U28" s="866"/>
      <c r="V28" s="866"/>
      <c r="W28" s="867"/>
      <c r="Z28" s="953"/>
      <c r="AA28" s="954"/>
      <c r="AB28" s="961" t="s">
        <v>278</v>
      </c>
      <c r="AC28" s="961"/>
      <c r="AE28" s="977"/>
      <c r="AF28" s="977"/>
    </row>
    <row r="29" spans="1:32" ht="14.25" customHeight="1" x14ac:dyDescent="0.25">
      <c r="A29" s="146"/>
      <c r="B29" s="818" t="s">
        <v>116</v>
      </c>
      <c r="C29" s="819"/>
      <c r="D29" s="818" t="s">
        <v>197</v>
      </c>
      <c r="E29" s="819"/>
      <c r="F29" s="818" t="s">
        <v>219</v>
      </c>
      <c r="G29" s="888"/>
      <c r="Z29" s="855" t="s">
        <v>361</v>
      </c>
      <c r="AA29" s="856"/>
      <c r="AB29" s="857"/>
      <c r="AC29" s="858"/>
      <c r="AE29" s="138"/>
      <c r="AF29" s="153"/>
    </row>
    <row r="30" spans="1:32" ht="14.25" customHeight="1" x14ac:dyDescent="0.25">
      <c r="A30" s="146"/>
      <c r="B30" s="826" t="s">
        <v>243</v>
      </c>
      <c r="C30" s="827"/>
      <c r="D30" s="826" t="s">
        <v>249</v>
      </c>
      <c r="E30" s="827"/>
      <c r="F30" s="826" t="s">
        <v>255</v>
      </c>
      <c r="G30" s="879"/>
      <c r="Z30" s="836" t="s">
        <v>352</v>
      </c>
      <c r="AA30" s="837"/>
      <c r="AB30" s="839" t="s">
        <v>44</v>
      </c>
      <c r="AC30" s="840"/>
      <c r="AD30" s="895" t="s">
        <v>337</v>
      </c>
      <c r="AE30" s="896"/>
      <c r="AF30" s="897"/>
    </row>
    <row r="31" spans="1:32" ht="14.25" customHeight="1" x14ac:dyDescent="0.25">
      <c r="A31" s="146"/>
      <c r="B31" s="818" t="s">
        <v>121</v>
      </c>
      <c r="C31" s="819"/>
      <c r="D31" s="818" t="s">
        <v>140</v>
      </c>
      <c r="E31" s="819"/>
      <c r="F31" s="818" t="s">
        <v>215</v>
      </c>
      <c r="G31" s="888"/>
      <c r="Z31" s="838"/>
      <c r="AA31" s="837"/>
      <c r="AB31" s="839" t="s">
        <v>29</v>
      </c>
      <c r="AC31" s="840"/>
      <c r="AD31" s="898"/>
      <c r="AE31" s="899"/>
      <c r="AF31" s="900"/>
    </row>
    <row r="32" spans="1:32" ht="14.25" customHeight="1" x14ac:dyDescent="0.25">
      <c r="A32" s="146"/>
      <c r="B32" s="826" t="s">
        <v>242</v>
      </c>
      <c r="C32" s="827"/>
      <c r="D32" s="826" t="s">
        <v>248</v>
      </c>
      <c r="E32" s="827"/>
      <c r="F32" s="826" t="s">
        <v>254</v>
      </c>
      <c r="G32" s="879"/>
      <c r="Z32" s="838"/>
      <c r="AA32" s="837"/>
      <c r="AB32" s="839" t="s">
        <v>308</v>
      </c>
      <c r="AC32" s="840"/>
      <c r="AD32" s="898"/>
      <c r="AE32" s="899"/>
      <c r="AF32" s="900"/>
    </row>
    <row r="33" spans="1:32" ht="14.25" customHeight="1" x14ac:dyDescent="0.25">
      <c r="A33" s="146"/>
      <c r="B33" s="818" t="s">
        <v>148</v>
      </c>
      <c r="C33" s="819"/>
      <c r="D33" s="818" t="s">
        <v>20</v>
      </c>
      <c r="E33" s="819"/>
      <c r="F33" s="818" t="s">
        <v>214</v>
      </c>
      <c r="G33" s="888"/>
      <c r="Z33" s="838"/>
      <c r="AA33" s="837"/>
      <c r="AB33" s="839" t="s">
        <v>307</v>
      </c>
      <c r="AC33" s="840"/>
      <c r="AD33" s="898"/>
      <c r="AE33" s="899"/>
      <c r="AF33" s="900"/>
    </row>
    <row r="34" spans="1:32" ht="14.25" customHeight="1" x14ac:dyDescent="0.25">
      <c r="A34" s="146"/>
      <c r="B34" s="826" t="s">
        <v>241</v>
      </c>
      <c r="C34" s="827"/>
      <c r="D34" s="826" t="s">
        <v>247</v>
      </c>
      <c r="E34" s="827"/>
      <c r="F34" s="826" t="s">
        <v>253</v>
      </c>
      <c r="G34" s="879"/>
      <c r="Z34" s="985" t="s">
        <v>239</v>
      </c>
      <c r="AA34" s="986"/>
      <c r="AB34" s="986"/>
      <c r="AC34" s="986"/>
      <c r="AD34" s="898"/>
      <c r="AE34" s="899"/>
      <c r="AF34" s="900"/>
    </row>
    <row r="35" spans="1:32" ht="14.25" customHeight="1" x14ac:dyDescent="0.25">
      <c r="A35" s="146"/>
      <c r="B35" s="818" t="s">
        <v>21</v>
      </c>
      <c r="C35" s="819"/>
      <c r="D35" s="818" t="s">
        <v>30</v>
      </c>
      <c r="E35" s="819"/>
      <c r="F35" s="818" t="s">
        <v>213</v>
      </c>
      <c r="G35" s="888"/>
      <c r="I35" s="868"/>
      <c r="J35" s="869"/>
      <c r="K35" s="869"/>
      <c r="L35" s="870"/>
      <c r="T35" s="868"/>
      <c r="U35" s="869"/>
      <c r="V35" s="869"/>
      <c r="W35" s="870"/>
      <c r="Z35" s="841" t="s">
        <v>351</v>
      </c>
      <c r="AA35" s="842"/>
      <c r="AB35" s="839" t="s">
        <v>89</v>
      </c>
      <c r="AC35" s="840"/>
      <c r="AD35" s="898"/>
      <c r="AE35" s="899"/>
      <c r="AF35" s="900"/>
    </row>
    <row r="36" spans="1:32" ht="14.25" customHeight="1" x14ac:dyDescent="0.25">
      <c r="A36" s="146"/>
      <c r="B36" s="908" t="s">
        <v>239</v>
      </c>
      <c r="C36" s="909"/>
      <c r="D36" s="909"/>
      <c r="E36" s="909"/>
      <c r="F36" s="909"/>
      <c r="G36" s="910"/>
      <c r="I36" s="871"/>
      <c r="J36" s="872"/>
      <c r="K36" s="872"/>
      <c r="L36" s="873"/>
      <c r="T36" s="871"/>
      <c r="U36" s="872"/>
      <c r="V36" s="872"/>
      <c r="W36" s="873"/>
      <c r="Z36" s="843"/>
      <c r="AA36" s="844"/>
      <c r="AB36" s="839" t="s">
        <v>335</v>
      </c>
      <c r="AC36" s="840"/>
      <c r="AD36" s="901"/>
      <c r="AE36" s="902"/>
      <c r="AF36" s="903"/>
    </row>
    <row r="37" spans="1:32" ht="14.25" customHeight="1" x14ac:dyDescent="0.25">
      <c r="A37" s="146"/>
      <c r="B37" s="826" t="s">
        <v>240</v>
      </c>
      <c r="C37" s="827"/>
      <c r="D37" s="826" t="s">
        <v>246</v>
      </c>
      <c r="E37" s="827"/>
      <c r="F37" s="826" t="s">
        <v>252</v>
      </c>
      <c r="G37" s="879"/>
      <c r="I37" s="871"/>
      <c r="J37" s="872"/>
      <c r="K37" s="872"/>
      <c r="L37" s="873"/>
      <c r="T37" s="871"/>
      <c r="U37" s="872"/>
      <c r="V37" s="872"/>
      <c r="W37" s="873"/>
      <c r="Z37" s="843"/>
      <c r="AA37" s="844"/>
      <c r="AB37" s="839" t="s">
        <v>306</v>
      </c>
      <c r="AC37" s="840"/>
      <c r="AF37" s="154"/>
    </row>
    <row r="38" spans="1:32" ht="14.25" customHeight="1" x14ac:dyDescent="0.25">
      <c r="A38" s="146"/>
      <c r="B38" s="877" t="s">
        <v>31</v>
      </c>
      <c r="C38" s="878"/>
      <c r="D38" s="877" t="s">
        <v>27</v>
      </c>
      <c r="E38" s="878"/>
      <c r="F38" s="877" t="s">
        <v>173</v>
      </c>
      <c r="G38" s="880"/>
      <c r="I38" s="871"/>
      <c r="J38" s="872"/>
      <c r="K38" s="872"/>
      <c r="L38" s="876"/>
      <c r="T38" s="874"/>
      <c r="U38" s="875"/>
      <c r="V38" s="875"/>
      <c r="W38" s="876"/>
      <c r="Z38" s="843"/>
      <c r="AA38" s="844"/>
      <c r="AB38" s="839" t="s">
        <v>23</v>
      </c>
      <c r="AC38" s="840"/>
      <c r="AF38" s="154"/>
    </row>
    <row r="39" spans="1:32" ht="16.5" thickBot="1" x14ac:dyDescent="0.3">
      <c r="A39" s="189"/>
      <c r="B39" s="983" t="s">
        <v>373</v>
      </c>
      <c r="C39" s="983"/>
      <c r="D39" s="983" t="s">
        <v>372</v>
      </c>
      <c r="E39" s="983"/>
      <c r="F39" s="983" t="s">
        <v>371</v>
      </c>
      <c r="G39" s="983"/>
      <c r="H39" s="190"/>
      <c r="I39" s="190"/>
      <c r="J39" s="190"/>
      <c r="K39" s="191"/>
      <c r="Z39" s="835" t="s">
        <v>371</v>
      </c>
      <c r="AA39" s="835"/>
      <c r="AB39" s="835" t="s">
        <v>372</v>
      </c>
      <c r="AC39" s="835"/>
      <c r="AF39" s="154"/>
    </row>
    <row r="40" spans="1:32" ht="15.75" x14ac:dyDescent="0.25">
      <c r="A40" s="980" t="s">
        <v>288</v>
      </c>
      <c r="B40" s="981"/>
      <c r="C40" s="981"/>
      <c r="D40" s="981"/>
      <c r="E40" s="981"/>
      <c r="F40" s="981"/>
      <c r="G40" s="981"/>
      <c r="H40" s="981"/>
      <c r="I40" s="981"/>
      <c r="J40" s="981"/>
      <c r="K40" s="982"/>
      <c r="N40" s="887" t="s">
        <v>296</v>
      </c>
      <c r="O40" s="887"/>
      <c r="P40" s="887"/>
      <c r="Q40" s="887"/>
      <c r="R40" s="887"/>
      <c r="T40" s="883" t="s">
        <v>286</v>
      </c>
      <c r="U40" s="884"/>
      <c r="V40" s="889" t="s">
        <v>287</v>
      </c>
      <c r="W40" s="890"/>
      <c r="X40" s="890"/>
      <c r="Y40" s="890"/>
      <c r="Z40" s="890"/>
      <c r="AA40" s="890"/>
      <c r="AB40" s="890"/>
      <c r="AC40" s="890"/>
      <c r="AD40" s="890"/>
      <c r="AE40" s="890"/>
      <c r="AF40" s="891"/>
    </row>
    <row r="41" spans="1:32" ht="14.25" customHeight="1" thickBot="1" x14ac:dyDescent="0.3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  <c r="L41" s="72"/>
      <c r="M41" s="72"/>
      <c r="N41" s="143"/>
      <c r="O41" s="911"/>
      <c r="P41" s="911"/>
      <c r="Q41" s="911"/>
      <c r="R41" s="142"/>
      <c r="S41" s="73"/>
      <c r="T41" s="885"/>
      <c r="U41" s="886"/>
      <c r="V41" s="892"/>
      <c r="W41" s="893"/>
      <c r="X41" s="893"/>
      <c r="Y41" s="893"/>
      <c r="Z41" s="893"/>
      <c r="AA41" s="893"/>
      <c r="AB41" s="893"/>
      <c r="AC41" s="893"/>
      <c r="AD41" s="893"/>
      <c r="AE41" s="893"/>
      <c r="AF41" s="894"/>
    </row>
    <row r="87" spans="13:13" ht="14.25" customHeight="1" x14ac:dyDescent="0.25">
      <c r="M87" t="s">
        <v>311</v>
      </c>
    </row>
    <row r="90" spans="13:13" ht="14.25" customHeight="1" x14ac:dyDescent="0.25">
      <c r="M90" t="s">
        <v>311</v>
      </c>
    </row>
    <row r="93" spans="13:13" ht="14.25" customHeight="1" x14ac:dyDescent="0.25">
      <c r="M93" t="s">
        <v>311</v>
      </c>
    </row>
    <row r="96" spans="13:13" ht="14.25" customHeight="1" x14ac:dyDescent="0.25">
      <c r="M96" t="s">
        <v>311</v>
      </c>
    </row>
    <row r="99" spans="13:13" ht="14.25" customHeight="1" x14ac:dyDescent="0.25">
      <c r="M99" t="s">
        <v>311</v>
      </c>
    </row>
    <row r="102" spans="13:13" ht="14.25" customHeight="1" x14ac:dyDescent="0.25">
      <c r="M102" t="s">
        <v>311</v>
      </c>
    </row>
    <row r="105" spans="13:13" ht="14.25" customHeight="1" x14ac:dyDescent="0.25">
      <c r="M105" t="s">
        <v>311</v>
      </c>
    </row>
    <row r="108" spans="13:13" ht="14.25" customHeight="1" x14ac:dyDescent="0.25">
      <c r="M108" t="s">
        <v>311</v>
      </c>
    </row>
    <row r="111" spans="13:13" ht="14.25" customHeight="1" x14ac:dyDescent="0.25">
      <c r="M111" t="s">
        <v>311</v>
      </c>
    </row>
    <row r="114" spans="13:13" ht="14.25" customHeight="1" x14ac:dyDescent="0.25">
      <c r="M114" t="s">
        <v>311</v>
      </c>
    </row>
    <row r="117" spans="13:13" ht="14.25" customHeight="1" x14ac:dyDescent="0.25">
      <c r="M117" t="s">
        <v>311</v>
      </c>
    </row>
    <row r="123" spans="13:13" ht="14.25" customHeight="1" x14ac:dyDescent="0.25">
      <c r="M123" t="s">
        <v>311</v>
      </c>
    </row>
    <row r="126" spans="13:13" ht="14.25" customHeight="1" x14ac:dyDescent="0.25">
      <c r="M126" t="s">
        <v>311</v>
      </c>
    </row>
    <row r="132" spans="13:13" ht="14.25" customHeight="1" x14ac:dyDescent="0.25">
      <c r="M132" t="s">
        <v>311</v>
      </c>
    </row>
    <row r="135" spans="13:13" ht="14.25" customHeight="1" x14ac:dyDescent="0.25">
      <c r="M135" t="s">
        <v>311</v>
      </c>
    </row>
    <row r="138" spans="13:13" ht="14.25" customHeight="1" x14ac:dyDescent="0.25">
      <c r="M138" t="s">
        <v>311</v>
      </c>
    </row>
    <row r="141" spans="13:13" ht="14.25" customHeight="1" x14ac:dyDescent="0.25">
      <c r="M141" t="s">
        <v>311</v>
      </c>
    </row>
    <row r="144" spans="13:13" ht="14.25" customHeight="1" x14ac:dyDescent="0.25">
      <c r="M144" t="s">
        <v>311</v>
      </c>
    </row>
  </sheetData>
  <mergeCells count="146">
    <mergeCell ref="AE25:AE28"/>
    <mergeCell ref="AF25:AF28"/>
    <mergeCell ref="D24:E24"/>
    <mergeCell ref="B24:C24"/>
    <mergeCell ref="Z18:AA18"/>
    <mergeCell ref="AB18:AC18"/>
    <mergeCell ref="A40:K40"/>
    <mergeCell ref="B39:C39"/>
    <mergeCell ref="D39:E39"/>
    <mergeCell ref="F39:G39"/>
    <mergeCell ref="F30:G30"/>
    <mergeCell ref="Q20:R21"/>
    <mergeCell ref="S20:T21"/>
    <mergeCell ref="U20:V21"/>
    <mergeCell ref="N20:O21"/>
    <mergeCell ref="F25:G25"/>
    <mergeCell ref="F26:G26"/>
    <mergeCell ref="F24:G24"/>
    <mergeCell ref="F31:G31"/>
    <mergeCell ref="F29:G29"/>
    <mergeCell ref="Z39:AA39"/>
    <mergeCell ref="Z34:AC34"/>
    <mergeCell ref="B35:C35"/>
    <mergeCell ref="B31:C31"/>
    <mergeCell ref="A9:B10"/>
    <mergeCell ref="A11:B11"/>
    <mergeCell ref="Z25:AA28"/>
    <mergeCell ref="AB25:AC27"/>
    <mergeCell ref="AB28:AC28"/>
    <mergeCell ref="Z21:AA23"/>
    <mergeCell ref="Z24:AC24"/>
    <mergeCell ref="H16:I16"/>
    <mergeCell ref="J16:K16"/>
    <mergeCell ref="T12:U12"/>
    <mergeCell ref="T13:U13"/>
    <mergeCell ref="S12:S17"/>
    <mergeCell ref="Q17:R17"/>
    <mergeCell ref="L12:L17"/>
    <mergeCell ref="J17:K17"/>
    <mergeCell ref="H17:I17"/>
    <mergeCell ref="W20:W21"/>
    <mergeCell ref="Q22:R23"/>
    <mergeCell ref="L22:M23"/>
    <mergeCell ref="N22:O23"/>
    <mergeCell ref="V12:W12"/>
    <mergeCell ref="V13:W13"/>
    <mergeCell ref="H14:I14"/>
    <mergeCell ref="J14:K14"/>
    <mergeCell ref="T17:U17"/>
    <mergeCell ref="Z19:AA20"/>
    <mergeCell ref="AB19:AC20"/>
    <mergeCell ref="AB21:AC23"/>
    <mergeCell ref="AA12:AB14"/>
    <mergeCell ref="B19:C20"/>
    <mergeCell ref="L20:M21"/>
    <mergeCell ref="I20:K21"/>
    <mergeCell ref="I22:K23"/>
    <mergeCell ref="M12:N12"/>
    <mergeCell ref="Q12:R12"/>
    <mergeCell ref="Q14:R14"/>
    <mergeCell ref="AB32:AC32"/>
    <mergeCell ref="B36:G36"/>
    <mergeCell ref="D34:E34"/>
    <mergeCell ref="D35:E35"/>
    <mergeCell ref="O41:Q41"/>
    <mergeCell ref="F35:G35"/>
    <mergeCell ref="B32:C32"/>
    <mergeCell ref="V14:W14"/>
    <mergeCell ref="V15:W15"/>
    <mergeCell ref="M17:N17"/>
    <mergeCell ref="O17:P17"/>
    <mergeCell ref="V16:W16"/>
    <mergeCell ref="AB30:AC30"/>
    <mergeCell ref="AB31:AC31"/>
    <mergeCell ref="P20:P23"/>
    <mergeCell ref="W22:W23"/>
    <mergeCell ref="Q15:R15"/>
    <mergeCell ref="M16:N16"/>
    <mergeCell ref="O16:P16"/>
    <mergeCell ref="Q16:R16"/>
    <mergeCell ref="V17:W17"/>
    <mergeCell ref="T14:U14"/>
    <mergeCell ref="T15:U15"/>
    <mergeCell ref="T16:U16"/>
    <mergeCell ref="D33:E33"/>
    <mergeCell ref="D38:E38"/>
    <mergeCell ref="F37:G37"/>
    <mergeCell ref="F38:G38"/>
    <mergeCell ref="F34:G34"/>
    <mergeCell ref="B30:C30"/>
    <mergeCell ref="G1:Z2"/>
    <mergeCell ref="T40:U41"/>
    <mergeCell ref="N40:R40"/>
    <mergeCell ref="F32:G32"/>
    <mergeCell ref="F33:G33"/>
    <mergeCell ref="V40:AF41"/>
    <mergeCell ref="AD30:AF36"/>
    <mergeCell ref="B26:C26"/>
    <mergeCell ref="D25:E25"/>
    <mergeCell ref="D26:E26"/>
    <mergeCell ref="S22:V23"/>
    <mergeCell ref="D30:E30"/>
    <mergeCell ref="B27:G27"/>
    <mergeCell ref="B28:C28"/>
    <mergeCell ref="B29:C29"/>
    <mergeCell ref="D28:E28"/>
    <mergeCell ref="F28:G28"/>
    <mergeCell ref="D29:E29"/>
    <mergeCell ref="AB39:AC39"/>
    <mergeCell ref="Z30:AA33"/>
    <mergeCell ref="AB33:AC33"/>
    <mergeCell ref="AB35:AC35"/>
    <mergeCell ref="AB36:AC36"/>
    <mergeCell ref="AB37:AC37"/>
    <mergeCell ref="AB38:AC38"/>
    <mergeCell ref="Z35:AA38"/>
    <mergeCell ref="B3:F8"/>
    <mergeCell ref="AA16:AC17"/>
    <mergeCell ref="Z29:AA29"/>
    <mergeCell ref="AB29:AC29"/>
    <mergeCell ref="T25:W28"/>
    <mergeCell ref="I25:L28"/>
    <mergeCell ref="I35:L38"/>
    <mergeCell ref="T35:W38"/>
    <mergeCell ref="D31:E31"/>
    <mergeCell ref="D32:E32"/>
    <mergeCell ref="B38:C38"/>
    <mergeCell ref="B37:C37"/>
    <mergeCell ref="B33:C33"/>
    <mergeCell ref="B34:C34"/>
    <mergeCell ref="B25:C25"/>
    <mergeCell ref="D37:E37"/>
    <mergeCell ref="AA2:AF2"/>
    <mergeCell ref="H15:I15"/>
    <mergeCell ref="J15:K15"/>
    <mergeCell ref="M13:N13"/>
    <mergeCell ref="O13:P13"/>
    <mergeCell ref="Q13:R13"/>
    <mergeCell ref="O12:P12"/>
    <mergeCell ref="M14:N14"/>
    <mergeCell ref="O14:P14"/>
    <mergeCell ref="M15:N15"/>
    <mergeCell ref="O15:P15"/>
    <mergeCell ref="T8:AA8"/>
    <mergeCell ref="H12:K12"/>
    <mergeCell ref="H13:K13"/>
  </mergeCells>
  <printOptions horizontalCentered="1" verticalCentered="1"/>
  <pageMargins left="0.118110236220472" right="0.118110236220472" top="0.118110236220472" bottom="0.11811023622047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CBGV</vt:lpstr>
      <vt:lpstr>PCGVCN</vt:lpstr>
      <vt:lpstr>T-L-K</vt:lpstr>
      <vt:lpstr>PCCM</vt:lpstr>
      <vt:lpstr>THOI KHOA BIEU </vt:lpstr>
      <vt:lpstr>SO DO PHONG HOC</vt:lpstr>
      <vt:lpstr>CBGV!Print_Area</vt:lpstr>
      <vt:lpstr>PCCM!Print_Area</vt:lpstr>
      <vt:lpstr>'SO DO PHONG HOC'!Print_Area</vt:lpstr>
      <vt:lpstr>'THOI KHOA BIEU '!Print_Area</vt:lpstr>
      <vt:lpstr>'T-L-K'!Print_Area</vt:lpstr>
      <vt:lpstr>PCCM!Print_Titles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My HTK</dc:creator>
  <cp:lastModifiedBy>HTK</cp:lastModifiedBy>
  <cp:lastPrinted>2025-09-07T04:07:31Z</cp:lastPrinted>
  <dcterms:created xsi:type="dcterms:W3CDTF">2011-12-16T15:03:30Z</dcterms:created>
  <dcterms:modified xsi:type="dcterms:W3CDTF">2025-10-15T02:02:57Z</dcterms:modified>
</cp:coreProperties>
</file>